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9440" windowHeight="7230" activeTab="7"/>
  </bookViews>
  <sheets>
    <sheet name="GEF Calculation" sheetId="1" r:id="rId1"/>
    <sheet name="Mexico" sheetId="10" r:id="rId2"/>
    <sheet name="Belize" sheetId="11" r:id="rId3"/>
    <sheet name="Costa Rica" sheetId="2" r:id="rId4"/>
    <sheet name="El Salvador" sheetId="9" r:id="rId5"/>
    <sheet name="Guatemala" sheetId="4" r:id="rId6"/>
    <sheet name="Honduras" sheetId="6" r:id="rId7"/>
    <sheet name="Nicaragua" sheetId="5" r:id="rId8"/>
    <sheet name="Panama" sheetId="3" r:id="rId9"/>
    <sheet name="Sources" sheetId="8" r:id="rId10"/>
  </sheets>
  <calcPr calcId="125725"/>
</workbook>
</file>

<file path=xl/calcChain.xml><?xml version="1.0" encoding="utf-8"?>
<calcChain xmlns="http://schemas.openxmlformats.org/spreadsheetml/2006/main">
  <c r="K4" i="6"/>
  <c r="K3"/>
  <c r="K2"/>
  <c r="L4" i="10"/>
  <c r="L3"/>
  <c r="L2"/>
  <c r="K4" i="4"/>
  <c r="K3"/>
  <c r="K2"/>
  <c r="G18"/>
  <c r="G16"/>
  <c r="F18"/>
  <c r="E18"/>
  <c r="E11"/>
  <c r="E4"/>
  <c r="G9"/>
  <c r="G11"/>
  <c r="F9"/>
  <c r="F11"/>
  <c r="B6" i="10"/>
  <c r="B13"/>
  <c r="B20"/>
  <c r="G16" s="1"/>
  <c r="M33" i="1" s="1"/>
  <c r="C52"/>
  <c r="B52"/>
  <c r="N44"/>
  <c r="I44"/>
  <c r="D21" i="3"/>
  <c r="D20"/>
  <c r="D19"/>
  <c r="D24" i="5"/>
  <c r="D23"/>
  <c r="D22"/>
  <c r="D24" i="6"/>
  <c r="D23"/>
  <c r="D22"/>
  <c r="D22" i="4"/>
  <c r="D22" i="9"/>
  <c r="D22" i="2"/>
  <c r="D24"/>
  <c r="D23"/>
  <c r="D19" i="11"/>
  <c r="D22" i="10"/>
  <c r="C51" i="1" s="1"/>
  <c r="M34"/>
  <c r="H34"/>
  <c r="C34"/>
  <c r="K34"/>
  <c r="K33"/>
  <c r="F34"/>
  <c r="F33"/>
  <c r="A34"/>
  <c r="A33"/>
  <c r="M22"/>
  <c r="M21"/>
  <c r="H22"/>
  <c r="H21"/>
  <c r="C22"/>
  <c r="C21"/>
  <c r="K22"/>
  <c r="K21"/>
  <c r="F22"/>
  <c r="F21"/>
  <c r="A21"/>
  <c r="A22"/>
  <c r="N10"/>
  <c r="M10"/>
  <c r="M9"/>
  <c r="L10"/>
  <c r="L9"/>
  <c r="I10"/>
  <c r="H10"/>
  <c r="H9"/>
  <c r="G10"/>
  <c r="G9"/>
  <c r="K10"/>
  <c r="K9"/>
  <c r="F10"/>
  <c r="F9"/>
  <c r="D10"/>
  <c r="C10"/>
  <c r="C9"/>
  <c r="B10"/>
  <c r="B9"/>
  <c r="D10" i="4"/>
  <c r="D17"/>
  <c r="C18"/>
  <c r="D18" s="1"/>
  <c r="G8" i="11"/>
  <c r="C16"/>
  <c r="D16" s="1"/>
  <c r="G16" s="1"/>
  <c r="N34" i="1" s="1"/>
  <c r="C10" i="11"/>
  <c r="D10" s="1"/>
  <c r="G10" s="1"/>
  <c r="I34" i="1" s="1"/>
  <c r="C4" i="11"/>
  <c r="D4" s="1"/>
  <c r="A16" l="1"/>
  <c r="A10"/>
  <c r="B14"/>
  <c r="B8"/>
  <c r="C17"/>
  <c r="D17" s="1"/>
  <c r="E16"/>
  <c r="G14"/>
  <c r="D14"/>
  <c r="F16" s="1"/>
  <c r="C11"/>
  <c r="D11" s="1"/>
  <c r="A11"/>
  <c r="A17" s="1"/>
  <c r="E10"/>
  <c r="F9"/>
  <c r="F15" s="1"/>
  <c r="E9"/>
  <c r="E15" s="1"/>
  <c r="D8"/>
  <c r="F10" s="1"/>
  <c r="A8"/>
  <c r="A14" s="1"/>
  <c r="E7"/>
  <c r="E13" s="1"/>
  <c r="D7"/>
  <c r="D13" s="1"/>
  <c r="B7"/>
  <c r="B13" s="1"/>
  <c r="C5"/>
  <c r="D5" s="1"/>
  <c r="E4"/>
  <c r="G2"/>
  <c r="D2"/>
  <c r="B13" i="4"/>
  <c r="D19"/>
  <c r="C19"/>
  <c r="B19"/>
  <c r="B12"/>
  <c r="B5"/>
  <c r="D3"/>
  <c r="A12"/>
  <c r="A11"/>
  <c r="A18" s="1"/>
  <c r="C11"/>
  <c r="D11" s="1"/>
  <c r="D12" s="1"/>
  <c r="C4"/>
  <c r="C5" s="1"/>
  <c r="A19"/>
  <c r="C17" i="10"/>
  <c r="C10"/>
  <c r="C3"/>
  <c r="D2"/>
  <c r="D9" i="1" s="1"/>
  <c r="C20" i="10"/>
  <c r="D20" s="1"/>
  <c r="B19"/>
  <c r="E18" s="1"/>
  <c r="D18"/>
  <c r="A18"/>
  <c r="D17"/>
  <c r="D19" s="1"/>
  <c r="A17"/>
  <c r="D16"/>
  <c r="N9" i="1" s="1"/>
  <c r="B16" i="10"/>
  <c r="C13"/>
  <c r="D13" s="1"/>
  <c r="A13"/>
  <c r="B12"/>
  <c r="E11" s="1"/>
  <c r="D11"/>
  <c r="F10"/>
  <c r="F17" s="1"/>
  <c r="E10"/>
  <c r="E17" s="1"/>
  <c r="D10"/>
  <c r="D12" s="1"/>
  <c r="C12" s="1"/>
  <c r="A10"/>
  <c r="G9"/>
  <c r="H33" i="1" s="1"/>
  <c r="D9" i="10"/>
  <c r="I9" i="1" s="1"/>
  <c r="B9" i="10"/>
  <c r="A9"/>
  <c r="A16" s="1"/>
  <c r="E8"/>
  <c r="E15" s="1"/>
  <c r="D8"/>
  <c r="D15" s="1"/>
  <c r="C6"/>
  <c r="D6" s="1"/>
  <c r="B5"/>
  <c r="E4" s="1"/>
  <c r="D4"/>
  <c r="D3"/>
  <c r="B13" i="6"/>
  <c r="F14" i="11" l="1"/>
  <c r="L22" i="1" s="1"/>
  <c r="N22"/>
  <c r="B51"/>
  <c r="F8" i="11"/>
  <c r="G22" i="1" s="1"/>
  <c r="I22"/>
  <c r="C12" i="4"/>
  <c r="D4"/>
  <c r="D5" s="1"/>
  <c r="G4" i="11"/>
  <c r="D34" i="1" s="1"/>
  <c r="L52" s="1"/>
  <c r="H2" i="11"/>
  <c r="F4"/>
  <c r="D22" i="1" s="1"/>
  <c r="G52" s="1"/>
  <c r="H8" i="11"/>
  <c r="G34" i="1" s="1"/>
  <c r="D5" i="10"/>
  <c r="G2"/>
  <c r="C33" i="1" s="1"/>
  <c r="F11" i="10"/>
  <c r="I21" i="1" s="1"/>
  <c r="F18" i="10"/>
  <c r="N21" i="1" s="1"/>
  <c r="B34" l="1"/>
  <c r="G4" i="4"/>
  <c r="F4"/>
  <c r="H14" i="11"/>
  <c r="L34" i="1" s="1"/>
  <c r="F2" i="11"/>
  <c r="F4" i="10"/>
  <c r="D21" i="1" s="1"/>
  <c r="G51" s="1"/>
  <c r="G18" i="10"/>
  <c r="F16"/>
  <c r="L21" i="1" s="1"/>
  <c r="G11" i="10"/>
  <c r="F9"/>
  <c r="G21" i="1" s="1"/>
  <c r="H16" i="10" l="1"/>
  <c r="L33" i="1" s="1"/>
  <c r="N33"/>
  <c r="D21" i="11"/>
  <c r="M52" i="1" s="1"/>
  <c r="H9" i="10"/>
  <c r="G33" i="1" s="1"/>
  <c r="I33"/>
  <c r="B22"/>
  <c r="D20" i="11"/>
  <c r="H52" i="1" s="1"/>
  <c r="G4" i="10"/>
  <c r="F2"/>
  <c r="M32" i="1"/>
  <c r="M31"/>
  <c r="M30"/>
  <c r="M28"/>
  <c r="M27"/>
  <c r="L32"/>
  <c r="H32"/>
  <c r="H31"/>
  <c r="H28"/>
  <c r="H27"/>
  <c r="G32"/>
  <c r="C32"/>
  <c r="C31"/>
  <c r="C30"/>
  <c r="C28"/>
  <c r="C27"/>
  <c r="B32"/>
  <c r="H2"/>
  <c r="M2" s="1"/>
  <c r="C14"/>
  <c r="H14" s="1"/>
  <c r="M14" s="1"/>
  <c r="M50"/>
  <c r="H50"/>
  <c r="C50"/>
  <c r="C49"/>
  <c r="C48"/>
  <c r="C46"/>
  <c r="C45"/>
  <c r="E15" i="3"/>
  <c r="E9"/>
  <c r="G14"/>
  <c r="G8"/>
  <c r="G2"/>
  <c r="C17"/>
  <c r="D17" s="1"/>
  <c r="C11"/>
  <c r="D11" s="1"/>
  <c r="C5"/>
  <c r="D5" s="1"/>
  <c r="F9"/>
  <c r="F15" s="1"/>
  <c r="E7"/>
  <c r="E13" s="1"/>
  <c r="D7"/>
  <c r="D13" s="1"/>
  <c r="B7"/>
  <c r="B13" s="1"/>
  <c r="A11"/>
  <c r="A17" s="1"/>
  <c r="A8"/>
  <c r="A14" s="1"/>
  <c r="E17" i="5"/>
  <c r="E10"/>
  <c r="F17" i="6"/>
  <c r="F10"/>
  <c r="E17"/>
  <c r="E10"/>
  <c r="F17" i="5"/>
  <c r="F10"/>
  <c r="E15"/>
  <c r="E8"/>
  <c r="D15"/>
  <c r="D8"/>
  <c r="A10" i="4"/>
  <c r="A17" s="1"/>
  <c r="A9"/>
  <c r="A16" s="1"/>
  <c r="B20" i="5"/>
  <c r="B13"/>
  <c r="C20"/>
  <c r="D20" s="1"/>
  <c r="C13"/>
  <c r="D13" s="1"/>
  <c r="C6"/>
  <c r="D6" s="1"/>
  <c r="B6"/>
  <c r="A16"/>
  <c r="A9"/>
  <c r="A13"/>
  <c r="E15" i="6"/>
  <c r="E8"/>
  <c r="D15"/>
  <c r="D8"/>
  <c r="B15"/>
  <c r="B8"/>
  <c r="A16"/>
  <c r="A9"/>
  <c r="C20"/>
  <c r="C13"/>
  <c r="C6"/>
  <c r="B20"/>
  <c r="B6"/>
  <c r="A13"/>
  <c r="A20" s="1"/>
  <c r="F10" i="4"/>
  <c r="F17" s="1"/>
  <c r="G8"/>
  <c r="G15" s="1"/>
  <c r="F17" i="9"/>
  <c r="F10"/>
  <c r="F17" i="2"/>
  <c r="F10"/>
  <c r="E10" i="4"/>
  <c r="E17" s="1"/>
  <c r="B8"/>
  <c r="B15" s="1"/>
  <c r="E17" i="9"/>
  <c r="E10"/>
  <c r="D15"/>
  <c r="D8"/>
  <c r="M29" i="1"/>
  <c r="H29"/>
  <c r="C20" i="4"/>
  <c r="D20" s="1"/>
  <c r="C13"/>
  <c r="D13" s="1"/>
  <c r="A20"/>
  <c r="E15" i="9"/>
  <c r="E8"/>
  <c r="B15" i="2"/>
  <c r="B8"/>
  <c r="B20"/>
  <c r="C20"/>
  <c r="D20" s="1"/>
  <c r="D13"/>
  <c r="C13"/>
  <c r="C6"/>
  <c r="D6" s="1"/>
  <c r="B15" i="9"/>
  <c r="C20"/>
  <c r="D20" s="1"/>
  <c r="C13"/>
  <c r="D13" s="1"/>
  <c r="D6"/>
  <c r="C6"/>
  <c r="C6" i="4"/>
  <c r="D6" s="1"/>
  <c r="B6"/>
  <c r="G2" s="1"/>
  <c r="C29" i="1" s="1"/>
  <c r="G9" i="9"/>
  <c r="G16"/>
  <c r="H15"/>
  <c r="H8"/>
  <c r="G8"/>
  <c r="G15" s="1"/>
  <c r="G2"/>
  <c r="B20"/>
  <c r="B13"/>
  <c r="B6"/>
  <c r="A13"/>
  <c r="A20" s="1"/>
  <c r="A9" i="2"/>
  <c r="H15"/>
  <c r="H8"/>
  <c r="E15"/>
  <c r="E10"/>
  <c r="G8"/>
  <c r="G15" s="1"/>
  <c r="G16"/>
  <c r="B13"/>
  <c r="B6"/>
  <c r="M8" i="1"/>
  <c r="M7"/>
  <c r="M6"/>
  <c r="H6"/>
  <c r="H8"/>
  <c r="M3"/>
  <c r="L8"/>
  <c r="L7"/>
  <c r="L6"/>
  <c r="L5"/>
  <c r="L4"/>
  <c r="L3"/>
  <c r="G8"/>
  <c r="I8" s="1"/>
  <c r="G7"/>
  <c r="G6"/>
  <c r="G5"/>
  <c r="G4"/>
  <c r="G3"/>
  <c r="C8"/>
  <c r="C7"/>
  <c r="C6"/>
  <c r="D6" s="1"/>
  <c r="C5"/>
  <c r="C4"/>
  <c r="C3"/>
  <c r="B8"/>
  <c r="B7"/>
  <c r="B5"/>
  <c r="B4"/>
  <c r="B3"/>
  <c r="C18" i="5"/>
  <c r="C17"/>
  <c r="C11"/>
  <c r="C10"/>
  <c r="C4"/>
  <c r="C3"/>
  <c r="C18" i="6"/>
  <c r="C17"/>
  <c r="C11"/>
  <c r="C10"/>
  <c r="C4"/>
  <c r="C3"/>
  <c r="C18" i="9"/>
  <c r="C17"/>
  <c r="D17" s="1"/>
  <c r="C11"/>
  <c r="C10"/>
  <c r="C4"/>
  <c r="C3"/>
  <c r="C18" i="2"/>
  <c r="C17"/>
  <c r="C4"/>
  <c r="C3"/>
  <c r="C11"/>
  <c r="C10"/>
  <c r="E17"/>
  <c r="E4" i="3"/>
  <c r="C20" i="1" s="1"/>
  <c r="M5"/>
  <c r="M4"/>
  <c r="H7"/>
  <c r="H5"/>
  <c r="H4"/>
  <c r="I4" s="1"/>
  <c r="H3"/>
  <c r="D8"/>
  <c r="H2" i="10" l="1"/>
  <c r="D33" i="1"/>
  <c r="L51" s="1"/>
  <c r="D23" i="10"/>
  <c r="H51" i="1" s="1"/>
  <c r="B21"/>
  <c r="M35"/>
  <c r="C35"/>
  <c r="C11"/>
  <c r="M11"/>
  <c r="H11"/>
  <c r="N32"/>
  <c r="N3"/>
  <c r="C26"/>
  <c r="H26" s="1"/>
  <c r="M26" s="1"/>
  <c r="D32"/>
  <c r="I32"/>
  <c r="D7"/>
  <c r="N7"/>
  <c r="D6" i="6"/>
  <c r="D20"/>
  <c r="D13"/>
  <c r="I6" i="1"/>
  <c r="I5"/>
  <c r="D5"/>
  <c r="N5"/>
  <c r="I3"/>
  <c r="I7"/>
  <c r="N4"/>
  <c r="N6"/>
  <c r="N8"/>
  <c r="B50" s="1"/>
  <c r="D4"/>
  <c r="B19" i="9"/>
  <c r="E18" s="1"/>
  <c r="M16" i="1" s="1"/>
  <c r="D18" i="9"/>
  <c r="A18"/>
  <c r="D19"/>
  <c r="A17"/>
  <c r="D16"/>
  <c r="F18" s="1"/>
  <c r="G18" s="1"/>
  <c r="B16"/>
  <c r="B12"/>
  <c r="E11" s="1"/>
  <c r="H16" i="1" s="1"/>
  <c r="D11" i="9"/>
  <c r="A11"/>
  <c r="D10"/>
  <c r="D12" s="1"/>
  <c r="A10"/>
  <c r="D9"/>
  <c r="B9"/>
  <c r="B5"/>
  <c r="D4"/>
  <c r="D3"/>
  <c r="D2"/>
  <c r="B19" i="6"/>
  <c r="E18" s="1"/>
  <c r="M18" i="1" s="1"/>
  <c r="D18" i="6"/>
  <c r="A18"/>
  <c r="D17"/>
  <c r="D19" s="1"/>
  <c r="A17"/>
  <c r="D16"/>
  <c r="B16"/>
  <c r="B12"/>
  <c r="D11"/>
  <c r="A11"/>
  <c r="D10"/>
  <c r="D12" s="1"/>
  <c r="A10"/>
  <c r="D9"/>
  <c r="B9"/>
  <c r="B5"/>
  <c r="E4" s="1"/>
  <c r="C18" i="1" s="1"/>
  <c r="D4" i="6"/>
  <c r="D3"/>
  <c r="D2"/>
  <c r="D3" i="5"/>
  <c r="B19"/>
  <c r="E18" s="1"/>
  <c r="M19" i="1" s="1"/>
  <c r="D18" i="5"/>
  <c r="A18"/>
  <c r="D17"/>
  <c r="D19" s="1"/>
  <c r="F18" s="1"/>
  <c r="G18" s="1"/>
  <c r="A17"/>
  <c r="D16"/>
  <c r="B16"/>
  <c r="B12"/>
  <c r="D11"/>
  <c r="A11"/>
  <c r="D10"/>
  <c r="D12" s="1"/>
  <c r="A10"/>
  <c r="D9"/>
  <c r="B9"/>
  <c r="B5"/>
  <c r="D4"/>
  <c r="D2"/>
  <c r="B16" i="4"/>
  <c r="B9"/>
  <c r="M17" i="1"/>
  <c r="D16" i="4"/>
  <c r="H16" s="1"/>
  <c r="L29" i="1" s="1"/>
  <c r="N29" s="1"/>
  <c r="H17"/>
  <c r="D9" i="4"/>
  <c r="H9" s="1"/>
  <c r="G29" i="1" s="1"/>
  <c r="I29" s="1"/>
  <c r="C17"/>
  <c r="D2" i="4"/>
  <c r="E16" i="3"/>
  <c r="M20" i="1" s="1"/>
  <c r="D14" i="3"/>
  <c r="G16" s="1"/>
  <c r="E10"/>
  <c r="H20" i="1" s="1"/>
  <c r="D8" i="3"/>
  <c r="G10" s="1"/>
  <c r="H8" s="1"/>
  <c r="D2"/>
  <c r="B19" i="2"/>
  <c r="E18" s="1"/>
  <c r="M15" i="1" s="1"/>
  <c r="D18" i="2"/>
  <c r="D17"/>
  <c r="D16"/>
  <c r="B12"/>
  <c r="D11"/>
  <c r="D10"/>
  <c r="D9"/>
  <c r="D2"/>
  <c r="B5"/>
  <c r="D4"/>
  <c r="D3"/>
  <c r="M23" i="1" l="1"/>
  <c r="D24" i="10"/>
  <c r="M51" i="1" s="1"/>
  <c r="B33"/>
  <c r="I11"/>
  <c r="G11" s="1"/>
  <c r="B46"/>
  <c r="N11"/>
  <c r="L11" s="1"/>
  <c r="B48"/>
  <c r="H2" i="4"/>
  <c r="B47" i="1"/>
  <c r="L50"/>
  <c r="B49"/>
  <c r="H14" i="3"/>
  <c r="G4"/>
  <c r="H2" s="1"/>
  <c r="F4"/>
  <c r="E11" i="5"/>
  <c r="H19" i="1" s="1"/>
  <c r="G9" i="5"/>
  <c r="G16"/>
  <c r="E4"/>
  <c r="C19" i="1" s="1"/>
  <c r="G2" i="5"/>
  <c r="F11"/>
  <c r="E11" i="6"/>
  <c r="H18" i="1" s="1"/>
  <c r="G9" i="6"/>
  <c r="H30" i="1" s="1"/>
  <c r="H35" s="1"/>
  <c r="G2" i="6"/>
  <c r="G16"/>
  <c r="H16" i="9"/>
  <c r="C47" i="1"/>
  <c r="E4" i="9"/>
  <c r="C16" i="1" s="1"/>
  <c r="E4" i="2"/>
  <c r="C15" i="1" s="1"/>
  <c r="G2" i="2"/>
  <c r="E11"/>
  <c r="H15" i="1" s="1"/>
  <c r="G9" i="2"/>
  <c r="F16" i="9"/>
  <c r="D5"/>
  <c r="C12"/>
  <c r="C19"/>
  <c r="F11"/>
  <c r="C12" i="6"/>
  <c r="C19"/>
  <c r="C12" i="5"/>
  <c r="C19"/>
  <c r="D5" i="2"/>
  <c r="D5" i="6"/>
  <c r="C5" s="1"/>
  <c r="F11"/>
  <c r="F9" s="1"/>
  <c r="G18" i="1" s="1"/>
  <c r="F18" i="6"/>
  <c r="F16" s="1"/>
  <c r="L18" i="1" s="1"/>
  <c r="N18" s="1"/>
  <c r="D5" i="5"/>
  <c r="F10" i="3"/>
  <c r="F8" s="1"/>
  <c r="G20" i="1" s="1"/>
  <c r="I20" s="1"/>
  <c r="F2" i="3"/>
  <c r="B20" i="1" s="1"/>
  <c r="D20" s="1"/>
  <c r="D19" i="2"/>
  <c r="D12"/>
  <c r="L16" i="1" l="1"/>
  <c r="N16" s="1"/>
  <c r="L28"/>
  <c r="N28" s="1"/>
  <c r="B29"/>
  <c r="D29" s="1"/>
  <c r="L47" s="1"/>
  <c r="D24" i="4"/>
  <c r="M47" i="1" s="1"/>
  <c r="H23"/>
  <c r="C23"/>
  <c r="I18"/>
  <c r="F16" i="5"/>
  <c r="L19" i="1" s="1"/>
  <c r="N19" s="1"/>
  <c r="H16" i="5"/>
  <c r="L31" i="1" s="1"/>
  <c r="N31" s="1"/>
  <c r="F9" i="5"/>
  <c r="G19" i="1" s="1"/>
  <c r="I19" s="1"/>
  <c r="G11" i="5"/>
  <c r="H9" s="1"/>
  <c r="G31" i="1" s="1"/>
  <c r="I31" s="1"/>
  <c r="G11" i="6"/>
  <c r="H9" s="1"/>
  <c r="G30" i="1" s="1"/>
  <c r="I30" s="1"/>
  <c r="G18" i="6"/>
  <c r="H16" s="1"/>
  <c r="L30" i="1" s="1"/>
  <c r="N30" s="1"/>
  <c r="F9" i="9"/>
  <c r="G16" i="1" s="1"/>
  <c r="I16" s="1"/>
  <c r="G11" i="9"/>
  <c r="H9" s="1"/>
  <c r="G28" i="1" s="1"/>
  <c r="I28" s="1"/>
  <c r="C5" i="9"/>
  <c r="C19" i="2"/>
  <c r="C12"/>
  <c r="C5"/>
  <c r="C5" i="5"/>
  <c r="F4"/>
  <c r="F2" i="4"/>
  <c r="F4" i="9"/>
  <c r="F4" i="2"/>
  <c r="G4" s="1"/>
  <c r="H2" s="1"/>
  <c r="B27" i="1" s="1"/>
  <c r="D27" s="1"/>
  <c r="F11" i="2"/>
  <c r="G11" s="1"/>
  <c r="H9" s="1"/>
  <c r="G27" i="1" s="1"/>
  <c r="I27" s="1"/>
  <c r="F18" i="2"/>
  <c r="F4" i="6"/>
  <c r="F16" i="4"/>
  <c r="L17" i="1" s="1"/>
  <c r="N17" s="1"/>
  <c r="G17"/>
  <c r="I17" s="1"/>
  <c r="F16" i="3"/>
  <c r="F14" s="1"/>
  <c r="L20" i="1" s="1"/>
  <c r="N20" s="1"/>
  <c r="G50" s="1"/>
  <c r="B17" l="1"/>
  <c r="D17" s="1"/>
  <c r="G47" s="1"/>
  <c r="D23" i="4"/>
  <c r="H47" i="1" s="1"/>
  <c r="I35"/>
  <c r="H49"/>
  <c r="G4" i="5"/>
  <c r="F16" i="2"/>
  <c r="L15" i="1" s="1"/>
  <c r="N15" s="1"/>
  <c r="N23" s="1"/>
  <c r="G18" i="2"/>
  <c r="H16" s="1"/>
  <c r="L27" i="1" s="1"/>
  <c r="N27" s="1"/>
  <c r="F2" i="2"/>
  <c r="H48" i="1"/>
  <c r="G4" i="6"/>
  <c r="G4" i="9"/>
  <c r="B15" i="1"/>
  <c r="D15" s="1"/>
  <c r="F2" i="5"/>
  <c r="B19" i="1" s="1"/>
  <c r="D19" s="1"/>
  <c r="G49" s="1"/>
  <c r="F2" i="6"/>
  <c r="B18" i="1" s="1"/>
  <c r="D18" s="1"/>
  <c r="G48" s="1"/>
  <c r="F2" i="9"/>
  <c r="B16" i="1" s="1"/>
  <c r="D16" s="1"/>
  <c r="G46" s="1"/>
  <c r="F9" i="2"/>
  <c r="G15" i="1" s="1"/>
  <c r="I15" s="1"/>
  <c r="H45"/>
  <c r="D23" i="9" l="1"/>
  <c r="H46" i="1" s="1"/>
  <c r="G35"/>
  <c r="N35"/>
  <c r="L35" s="1"/>
  <c r="D23"/>
  <c r="I23"/>
  <c r="G23" s="1"/>
  <c r="L45"/>
  <c r="G45"/>
  <c r="G53" s="1"/>
  <c r="L23"/>
  <c r="H2" i="5"/>
  <c r="B31" i="1" s="1"/>
  <c r="D31" s="1"/>
  <c r="L49" s="1"/>
  <c r="M49"/>
  <c r="M45"/>
  <c r="H2" i="6"/>
  <c r="B30" i="1" s="1"/>
  <c r="D30" s="1"/>
  <c r="L48" s="1"/>
  <c r="M48"/>
  <c r="H2" i="9"/>
  <c r="B28" i="1" l="1"/>
  <c r="D28" s="1"/>
  <c r="D24" i="9"/>
  <c r="M46" i="1" s="1"/>
  <c r="D35"/>
  <c r="D40" s="1"/>
  <c r="D39"/>
  <c r="L46"/>
  <c r="L53" s="1"/>
  <c r="C57"/>
  <c r="B23"/>
  <c r="C39" s="1"/>
  <c r="D3"/>
  <c r="D11" s="1"/>
  <c r="C56" s="1"/>
  <c r="B11" l="1"/>
  <c r="C38" s="1"/>
  <c r="D38"/>
  <c r="B35"/>
  <c r="C40" s="1"/>
  <c r="C58"/>
  <c r="B45"/>
  <c r="B53" s="1"/>
  <c r="D45" l="1"/>
  <c r="D52"/>
  <c r="I52"/>
  <c r="N52"/>
  <c r="D51"/>
  <c r="I51"/>
  <c r="N51"/>
  <c r="N49"/>
  <c r="I48"/>
  <c r="D46"/>
  <c r="I47" l="1"/>
  <c r="N46"/>
  <c r="N45"/>
  <c r="D50"/>
  <c r="N48"/>
  <c r="D49"/>
  <c r="D48"/>
  <c r="D47"/>
  <c r="I49"/>
  <c r="I46"/>
  <c r="I50"/>
  <c r="I45"/>
  <c r="N47"/>
  <c r="N50"/>
</calcChain>
</file>

<file path=xl/sharedStrings.xml><?xml version="1.0" encoding="utf-8"?>
<sst xmlns="http://schemas.openxmlformats.org/spreadsheetml/2006/main" count="415" uniqueCount="68">
  <si>
    <t>Costa Rica</t>
  </si>
  <si>
    <t>El Salvador</t>
  </si>
  <si>
    <t>Guatemala</t>
  </si>
  <si>
    <t>Honduras</t>
  </si>
  <si>
    <t>Nicaragua</t>
  </si>
  <si>
    <t>Panama</t>
  </si>
  <si>
    <t>0.3556</t>
  </si>
  <si>
    <t>0.717</t>
  </si>
  <si>
    <t>0.6975</t>
  </si>
  <si>
    <t>0.6561</t>
  </si>
  <si>
    <t>0.7055</t>
  </si>
  <si>
    <t>0.623</t>
  </si>
  <si>
    <t>Imports MWh</t>
  </si>
  <si>
    <t>Country of origin</t>
  </si>
  <si>
    <t xml:space="preserve">GEF ton CO2/MWh </t>
  </si>
  <si>
    <t>Total / Average</t>
  </si>
  <si>
    <t>GEF including import</t>
  </si>
  <si>
    <t xml:space="preserve">El Salvador </t>
  </si>
  <si>
    <t xml:space="preserve">Guatemala </t>
  </si>
  <si>
    <t xml:space="preserve">Honduras </t>
  </si>
  <si>
    <t xml:space="preserve">Tons CO2 </t>
  </si>
  <si>
    <t>Total</t>
  </si>
  <si>
    <t>3 year average</t>
  </si>
  <si>
    <t>Common GEF calculation - with imports</t>
  </si>
  <si>
    <t>GEF excluding Import 3 year average:</t>
  </si>
  <si>
    <t>GEF including Import 3 year average:</t>
  </si>
  <si>
    <t>GEF from PDDs</t>
  </si>
  <si>
    <t>Import      Panama</t>
  </si>
  <si>
    <t>Export</t>
  </si>
  <si>
    <t xml:space="preserve">GEF </t>
  </si>
  <si>
    <t>tCO2 export and import</t>
  </si>
  <si>
    <t>Generation in country MWh</t>
  </si>
  <si>
    <t>Generation + Imports</t>
  </si>
  <si>
    <t>GEF export &amp; import</t>
  </si>
  <si>
    <t>Country</t>
  </si>
  <si>
    <t>GEF import and export 3 year average:</t>
  </si>
  <si>
    <t>Import - Export MWh</t>
  </si>
  <si>
    <t>Imports - Export MWh</t>
  </si>
  <si>
    <t>Import Export MWh</t>
  </si>
  <si>
    <t>Tons CO2</t>
  </si>
  <si>
    <t>Tons CO2 + imports</t>
  </si>
  <si>
    <t>Generation - export + import</t>
  </si>
  <si>
    <t>Import   Honduras</t>
  </si>
  <si>
    <t>Import   El Salvador</t>
  </si>
  <si>
    <t>Import</t>
  </si>
  <si>
    <t>Import  Guatemala</t>
  </si>
  <si>
    <t>Generation MWh</t>
  </si>
  <si>
    <t>Common GEF calculation - including imports and export</t>
  </si>
  <si>
    <t xml:space="preserve">tCO2 </t>
  </si>
  <si>
    <t>No Import</t>
  </si>
  <si>
    <t>With Imports</t>
  </si>
  <si>
    <t>Including Imports and exports</t>
  </si>
  <si>
    <t>3y average CO2 emissions</t>
  </si>
  <si>
    <t>Total t CO2</t>
  </si>
  <si>
    <t xml:space="preserve">Total </t>
  </si>
  <si>
    <t>Mexico</t>
  </si>
  <si>
    <t>Import   Guatemala</t>
  </si>
  <si>
    <t>Belize</t>
  </si>
  <si>
    <t>-</t>
  </si>
  <si>
    <t xml:space="preserve">Difference from common GEF </t>
  </si>
  <si>
    <t>GEF No import</t>
  </si>
  <si>
    <t>GEF with import</t>
  </si>
  <si>
    <t>GEF With import and Export</t>
  </si>
  <si>
    <t>Common GEF calculations - No import</t>
  </si>
  <si>
    <t>Average emissions</t>
  </si>
  <si>
    <t>country Generation</t>
  </si>
  <si>
    <t>Imports</t>
  </si>
  <si>
    <t>Import and exporty</t>
  </si>
</sst>
</file>

<file path=xl/styles.xml><?xml version="1.0" encoding="utf-8"?>
<styleSheet xmlns="http://schemas.openxmlformats.org/spreadsheetml/2006/main">
  <numFmts count="13">
    <numFmt numFmtId="44" formatCode="_ &quot;kr.&quot;\ * #,##0.00_ ;_ &quot;kr.&quot;\ * \-#,##0.00_ ;_ &quot;kr.&quot;\ * &quot;-&quot;??_ ;_ @_ "/>
    <numFmt numFmtId="43" formatCode="_ * #,##0.00_ ;_ * \-#,##0.00_ ;_ * &quot;-&quot;??_ ;_ @_ "/>
    <numFmt numFmtId="164" formatCode="0.000000"/>
    <numFmt numFmtId="165" formatCode="0.0000000"/>
    <numFmt numFmtId="166" formatCode="0.00000000"/>
    <numFmt numFmtId="167" formatCode="_ * #,##0.000_ ;_ * \-#,##0.000_ ;_ * &quot;-&quot;??_ ;_ @_ "/>
    <numFmt numFmtId="168" formatCode="_ * #,##0.00000_ ;_ * \-#,##0.00000_ ;_ * &quot;-&quot;??_ ;_ @_ "/>
    <numFmt numFmtId="169" formatCode="_ * #,##0.000000_ ;_ * \-#,##0.000000_ ;_ * &quot;-&quot;??_ ;_ @_ "/>
    <numFmt numFmtId="170" formatCode="_ * #,##0.0000000_ ;_ * \-#,##0.0000000_ ;_ * &quot;-&quot;??_ ;_ @_ "/>
    <numFmt numFmtId="171" formatCode="_ * #,##0_ ;_ * \-#,##0_ ;_ * &quot;-&quot;??_ ;_ @_ "/>
    <numFmt numFmtId="172" formatCode="_ * #,##0.00000000_ ;_ * \-#,##0.00000000_ ;_ * &quot;-&quot;??_ ;_ @_ "/>
    <numFmt numFmtId="173" formatCode="0.000000000"/>
    <numFmt numFmtId="174" formatCode="_ * #,##0.000000000_ ;_ * \-#,##0.000000000_ ;_ * &quot;-&quot;???????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3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0" fillId="0" borderId="0" xfId="0" applyBorder="1" applyAlignment="1">
      <alignment horizontal="righ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8" xfId="0" applyBorder="1"/>
    <xf numFmtId="0" fontId="0" fillId="0" borderId="9" xfId="0" applyFont="1" applyBorder="1"/>
    <xf numFmtId="0" fontId="0" fillId="0" borderId="0" xfId="0" applyFont="1"/>
    <xf numFmtId="0" fontId="0" fillId="0" borderId="0" xfId="0" applyAlignment="1"/>
    <xf numFmtId="0" fontId="0" fillId="0" borderId="0" xfId="0" applyBorder="1" applyAlignment="1"/>
    <xf numFmtId="0" fontId="0" fillId="0" borderId="3" xfId="0" applyFont="1" applyBorder="1" applyAlignment="1"/>
    <xf numFmtId="0" fontId="0" fillId="0" borderId="8" xfId="0" applyBorder="1" applyAlignment="1"/>
    <xf numFmtId="0" fontId="0" fillId="0" borderId="9" xfId="0" applyFont="1" applyBorder="1" applyAlignment="1"/>
    <xf numFmtId="0" fontId="0" fillId="0" borderId="0" xfId="0" applyFont="1" applyAlignment="1"/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0" fillId="0" borderId="8" xfId="0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horizontal="right" vertical="top" wrapText="1"/>
    </xf>
    <xf numFmtId="0" fontId="0" fillId="0" borderId="8" xfId="0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Border="1" applyAlignment="1"/>
    <xf numFmtId="0" fontId="0" fillId="0" borderId="0" xfId="0" applyAlignment="1">
      <alignment horizontal="left" vertical="top" wrapText="1"/>
    </xf>
    <xf numFmtId="0" fontId="0" fillId="0" borderId="0" xfId="0" applyFont="1" applyBorder="1"/>
    <xf numFmtId="0" fontId="0" fillId="0" borderId="0" xfId="0" applyFont="1" applyBorder="1" applyAlignment="1">
      <alignment vertical="top"/>
    </xf>
    <xf numFmtId="0" fontId="0" fillId="0" borderId="11" xfId="0" applyBorder="1"/>
    <xf numFmtId="0" fontId="0" fillId="0" borderId="1" xfId="0" applyFont="1" applyBorder="1"/>
    <xf numFmtId="0" fontId="0" fillId="0" borderId="0" xfId="0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6" xfId="0" applyBorder="1" applyAlignment="1">
      <alignment horizontal="right"/>
    </xf>
    <xf numFmtId="0" fontId="3" fillId="0" borderId="0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right" vertical="top"/>
    </xf>
    <xf numFmtId="0" fontId="3" fillId="0" borderId="0" xfId="0" applyFont="1"/>
    <xf numFmtId="0" fontId="1" fillId="0" borderId="0" xfId="0" applyFont="1"/>
    <xf numFmtId="0" fontId="0" fillId="0" borderId="20" xfId="0" applyBorder="1"/>
    <xf numFmtId="2" fontId="0" fillId="0" borderId="0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/>
    </xf>
    <xf numFmtId="164" fontId="0" fillId="0" borderId="7" xfId="0" applyNumberFormat="1" applyBorder="1" applyAlignment="1">
      <alignment horizontal="right" vertical="top"/>
    </xf>
    <xf numFmtId="164" fontId="0" fillId="0" borderId="7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43" fontId="0" fillId="0" borderId="1" xfId="1" applyFont="1" applyBorder="1"/>
    <xf numFmtId="43" fontId="0" fillId="0" borderId="1" xfId="1" applyFont="1" applyBorder="1" applyAlignment="1">
      <alignment horizontal="right"/>
    </xf>
    <xf numFmtId="43" fontId="0" fillId="0" borderId="7" xfId="1" applyFont="1" applyBorder="1" applyAlignment="1">
      <alignment horizontal="right"/>
    </xf>
    <xf numFmtId="167" fontId="0" fillId="0" borderId="1" xfId="1" applyNumberFormat="1" applyFont="1" applyBorder="1" applyAlignment="1">
      <alignment horizontal="right"/>
    </xf>
    <xf numFmtId="167" fontId="0" fillId="0" borderId="0" xfId="1" applyNumberFormat="1" applyFont="1" applyBorder="1" applyAlignment="1">
      <alignment horizontal="right" vertical="top"/>
    </xf>
    <xf numFmtId="167" fontId="0" fillId="0" borderId="0" xfId="1" applyNumberFormat="1" applyFont="1"/>
    <xf numFmtId="168" fontId="0" fillId="0" borderId="0" xfId="1" applyNumberFormat="1" applyFont="1" applyBorder="1" applyAlignment="1">
      <alignment horizontal="right"/>
    </xf>
    <xf numFmtId="168" fontId="0" fillId="0" borderId="0" xfId="1" applyNumberFormat="1" applyFont="1" applyBorder="1"/>
    <xf numFmtId="168" fontId="0" fillId="0" borderId="3" xfId="1" applyNumberFormat="1" applyFont="1" applyBorder="1"/>
    <xf numFmtId="168" fontId="0" fillId="0" borderId="9" xfId="1" applyNumberFormat="1" applyFont="1" applyBorder="1"/>
    <xf numFmtId="168" fontId="0" fillId="0" borderId="0" xfId="1" applyNumberFormat="1" applyFont="1"/>
    <xf numFmtId="170" fontId="0" fillId="0" borderId="0" xfId="1" applyNumberFormat="1" applyFont="1" applyBorder="1" applyAlignment="1">
      <alignment horizontal="right" vertical="top"/>
    </xf>
    <xf numFmtId="170" fontId="0" fillId="0" borderId="1" xfId="1" applyNumberFormat="1" applyFont="1" applyBorder="1"/>
    <xf numFmtId="170" fontId="0" fillId="0" borderId="0" xfId="1" applyNumberFormat="1" applyFont="1"/>
    <xf numFmtId="43" fontId="0" fillId="0" borderId="0" xfId="1" applyNumberFormat="1" applyFont="1" applyBorder="1" applyAlignment="1">
      <alignment horizontal="right"/>
    </xf>
    <xf numFmtId="43" fontId="0" fillId="0" borderId="0" xfId="1" applyNumberFormat="1" applyFont="1"/>
    <xf numFmtId="171" fontId="0" fillId="0" borderId="1" xfId="1" applyNumberFormat="1" applyFont="1" applyBorder="1" applyAlignment="1">
      <alignment horizontal="right" vertical="top"/>
    </xf>
    <xf numFmtId="171" fontId="0" fillId="0" borderId="7" xfId="1" applyNumberFormat="1" applyFont="1" applyBorder="1" applyAlignment="1">
      <alignment horizontal="right" vertical="top"/>
    </xf>
    <xf numFmtId="171" fontId="0" fillId="0" borderId="0" xfId="1" applyNumberFormat="1" applyFont="1" applyBorder="1" applyAlignment="1">
      <alignment horizontal="right" vertical="top"/>
    </xf>
    <xf numFmtId="171" fontId="0" fillId="0" borderId="0" xfId="1" applyNumberFormat="1" applyFont="1"/>
    <xf numFmtId="43" fontId="0" fillId="0" borderId="1" xfId="1" applyNumberFormat="1" applyFont="1" applyBorder="1"/>
    <xf numFmtId="43" fontId="0" fillId="0" borderId="0" xfId="1" applyNumberFormat="1" applyFont="1" applyBorder="1"/>
    <xf numFmtId="43" fontId="0" fillId="0" borderId="8" xfId="1" applyNumberFormat="1" applyFont="1" applyBorder="1" applyAlignment="1">
      <alignment horizontal="right"/>
    </xf>
    <xf numFmtId="43" fontId="0" fillId="0" borderId="8" xfId="1" applyNumberFormat="1" applyFont="1" applyBorder="1"/>
    <xf numFmtId="43" fontId="0" fillId="0" borderId="0" xfId="1" applyNumberFormat="1" applyFont="1" applyAlignment="1">
      <alignment horizontal="right"/>
    </xf>
    <xf numFmtId="171" fontId="0" fillId="0" borderId="1" xfId="1" applyNumberFormat="1" applyFont="1" applyBorder="1" applyAlignment="1">
      <alignment horizontal="center" vertical="top" wrapText="1"/>
    </xf>
    <xf numFmtId="170" fontId="0" fillId="0" borderId="0" xfId="0" applyNumberFormat="1"/>
    <xf numFmtId="171" fontId="0" fillId="0" borderId="1" xfId="1" applyNumberFormat="1" applyFont="1" applyBorder="1" applyAlignment="1">
      <alignment horizontal="right"/>
    </xf>
    <xf numFmtId="170" fontId="0" fillId="0" borderId="1" xfId="1" applyNumberFormat="1" applyFont="1" applyBorder="1" applyAlignment="1">
      <alignment horizontal="right"/>
    </xf>
    <xf numFmtId="171" fontId="0" fillId="0" borderId="1" xfId="1" applyNumberFormat="1" applyFont="1" applyBorder="1" applyAlignment="1">
      <alignment horizontal="center" wrapText="1"/>
    </xf>
    <xf numFmtId="171" fontId="0" fillId="0" borderId="7" xfId="1" applyNumberFormat="1" applyFont="1" applyBorder="1" applyAlignment="1">
      <alignment horizontal="right"/>
    </xf>
    <xf numFmtId="0" fontId="0" fillId="0" borderId="5" xfId="0" applyFill="1" applyBorder="1" applyAlignment="1">
      <alignment horizontal="right"/>
    </xf>
    <xf numFmtId="170" fontId="0" fillId="0" borderId="1" xfId="1" applyNumberFormat="1" applyFont="1" applyBorder="1" applyAlignment="1"/>
    <xf numFmtId="171" fontId="0" fillId="0" borderId="20" xfId="1" applyNumberFormat="1" applyFont="1" applyBorder="1" applyAlignment="1">
      <alignment horizontal="right"/>
    </xf>
    <xf numFmtId="170" fontId="0" fillId="0" borderId="20" xfId="1" applyNumberFormat="1" applyFont="1" applyBorder="1" applyAlignment="1">
      <alignment horizontal="right"/>
    </xf>
    <xf numFmtId="167" fontId="0" fillId="0" borderId="20" xfId="1" applyNumberFormat="1" applyFont="1" applyBorder="1" applyAlignment="1">
      <alignment horizontal="right"/>
    </xf>
    <xf numFmtId="171" fontId="0" fillId="0" borderId="24" xfId="1" applyNumberFormat="1" applyFont="1" applyBorder="1" applyAlignment="1">
      <alignment horizontal="right"/>
    </xf>
    <xf numFmtId="171" fontId="0" fillId="0" borderId="1" xfId="1" applyNumberFormat="1" applyFont="1" applyBorder="1"/>
    <xf numFmtId="43" fontId="0" fillId="0" borderId="7" xfId="1" applyFont="1" applyBorder="1"/>
    <xf numFmtId="171" fontId="0" fillId="0" borderId="7" xfId="1" applyNumberFormat="1" applyFont="1" applyBorder="1"/>
    <xf numFmtId="0" fontId="2" fillId="0" borderId="14" xfId="0" applyFont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0" fillId="0" borderId="4" xfId="0" applyBorder="1" applyAlignment="1">
      <alignment horizontal="right"/>
    </xf>
    <xf numFmtId="0" fontId="0" fillId="0" borderId="16" xfId="0" applyFill="1" applyBorder="1" applyAlignment="1">
      <alignment horizontal="right"/>
    </xf>
    <xf numFmtId="167" fontId="0" fillId="0" borderId="10" xfId="1" applyNumberFormat="1" applyFont="1" applyBorder="1" applyAlignment="1">
      <alignment horizontal="right"/>
    </xf>
    <xf numFmtId="0" fontId="0" fillId="0" borderId="20" xfId="0" applyFill="1" applyBorder="1" applyAlignment="1">
      <alignment horizontal="center" wrapText="1"/>
    </xf>
    <xf numFmtId="43" fontId="0" fillId="0" borderId="20" xfId="1" applyNumberFormat="1" applyFont="1" applyBorder="1" applyAlignment="1">
      <alignment horizontal="center" wrapText="1"/>
    </xf>
    <xf numFmtId="0" fontId="0" fillId="0" borderId="25" xfId="0" applyBorder="1" applyAlignment="1">
      <alignment horizontal="center"/>
    </xf>
    <xf numFmtId="168" fontId="1" fillId="0" borderId="26" xfId="1" applyNumberFormat="1" applyFont="1" applyBorder="1"/>
    <xf numFmtId="170" fontId="1" fillId="0" borderId="26" xfId="1" applyNumberFormat="1" applyFont="1" applyBorder="1" applyAlignment="1">
      <alignment horizontal="right" vertical="top"/>
    </xf>
    <xf numFmtId="167" fontId="0" fillId="0" borderId="26" xfId="1" applyNumberFormat="1" applyFont="1" applyBorder="1"/>
    <xf numFmtId="43" fontId="0" fillId="0" borderId="26" xfId="1" applyNumberFormat="1" applyFont="1" applyBorder="1"/>
    <xf numFmtId="43" fontId="0" fillId="0" borderId="26" xfId="0" applyNumberFormat="1" applyBorder="1"/>
    <xf numFmtId="0" fontId="1" fillId="0" borderId="27" xfId="0" applyFont="1" applyBorder="1"/>
    <xf numFmtId="0" fontId="2" fillId="0" borderId="28" xfId="0" applyFont="1" applyBorder="1" applyAlignment="1">
      <alignment horizontal="center" wrapText="1"/>
    </xf>
    <xf numFmtId="171" fontId="0" fillId="0" borderId="29" xfId="1" applyNumberFormat="1" applyFont="1" applyBorder="1" applyAlignment="1">
      <alignment horizontal="center" wrapText="1"/>
    </xf>
    <xf numFmtId="170" fontId="1" fillId="0" borderId="29" xfId="1" applyNumberFormat="1" applyFont="1" applyBorder="1" applyAlignment="1">
      <alignment horizontal="center" wrapText="1"/>
    </xf>
    <xf numFmtId="167" fontId="0" fillId="0" borderId="29" xfId="1" applyNumberFormat="1" applyFont="1" applyBorder="1" applyAlignment="1">
      <alignment horizontal="center" wrapText="1"/>
    </xf>
    <xf numFmtId="43" fontId="0" fillId="0" borderId="29" xfId="1" applyNumberFormat="1" applyFont="1" applyBorder="1" applyAlignment="1">
      <alignment horizontal="center" wrapText="1"/>
    </xf>
    <xf numFmtId="168" fontId="1" fillId="0" borderId="29" xfId="1" applyNumberFormat="1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0" fillId="0" borderId="31" xfId="0" applyBorder="1" applyAlignment="1">
      <alignment horizontal="right"/>
    </xf>
    <xf numFmtId="170" fontId="0" fillId="0" borderId="20" xfId="1" applyNumberFormat="1" applyFont="1" applyBorder="1" applyAlignment="1"/>
    <xf numFmtId="43" fontId="0" fillId="0" borderId="20" xfId="1" applyNumberFormat="1" applyFont="1" applyFill="1" applyBorder="1" applyAlignment="1">
      <alignment horizontal="center" wrapText="1"/>
    </xf>
    <xf numFmtId="171" fontId="1" fillId="0" borderId="26" xfId="1" applyNumberFormat="1" applyFont="1" applyBorder="1"/>
    <xf numFmtId="170" fontId="1" fillId="0" borderId="26" xfId="1" applyNumberFormat="1" applyFont="1" applyBorder="1"/>
    <xf numFmtId="170" fontId="0" fillId="0" borderId="20" xfId="1" applyNumberFormat="1" applyFont="1" applyBorder="1"/>
    <xf numFmtId="167" fontId="0" fillId="0" borderId="19" xfId="1" applyNumberFormat="1" applyFont="1" applyBorder="1" applyAlignment="1">
      <alignment horizontal="right"/>
    </xf>
    <xf numFmtId="0" fontId="1" fillId="0" borderId="2" xfId="0" applyFont="1" applyFill="1" applyBorder="1" applyAlignment="1">
      <alignment horizontal="left" vertical="top"/>
    </xf>
    <xf numFmtId="0" fontId="1" fillId="0" borderId="2" xfId="0" applyFont="1" applyBorder="1"/>
    <xf numFmtId="0" fontId="1" fillId="0" borderId="21" xfId="0" applyFont="1" applyBorder="1"/>
    <xf numFmtId="165" fontId="1" fillId="0" borderId="21" xfId="0" applyNumberFormat="1" applyFont="1" applyBorder="1" applyAlignment="1"/>
    <xf numFmtId="165" fontId="1" fillId="0" borderId="21" xfId="0" applyNumberFormat="1" applyFont="1" applyBorder="1" applyAlignment="1">
      <alignment vertical="top"/>
    </xf>
    <xf numFmtId="0" fontId="1" fillId="0" borderId="2" xfId="0" applyFont="1" applyFill="1" applyBorder="1" applyAlignment="1">
      <alignment horizontal="left"/>
    </xf>
    <xf numFmtId="0" fontId="1" fillId="0" borderId="23" xfId="0" applyFont="1" applyBorder="1"/>
    <xf numFmtId="165" fontId="1" fillId="0" borderId="22" xfId="0" applyNumberFormat="1" applyFont="1" applyBorder="1" applyAlignment="1">
      <alignment vertical="top"/>
    </xf>
    <xf numFmtId="0" fontId="0" fillId="0" borderId="13" xfId="0" applyBorder="1" applyAlignment="1">
      <alignment horizontal="left" vertical="top" wrapText="1"/>
    </xf>
    <xf numFmtId="0" fontId="0" fillId="0" borderId="16" xfId="0" applyBorder="1" applyAlignment="1">
      <alignment horizontal="center"/>
    </xf>
    <xf numFmtId="0" fontId="1" fillId="0" borderId="7" xfId="0" applyFont="1" applyBorder="1" applyAlignment="1"/>
    <xf numFmtId="43" fontId="0" fillId="0" borderId="7" xfId="0" applyNumberFormat="1" applyBorder="1"/>
    <xf numFmtId="0" fontId="1" fillId="0" borderId="17" xfId="0" applyFont="1" applyBorder="1"/>
    <xf numFmtId="0" fontId="0" fillId="0" borderId="0" xfId="0" applyBorder="1" applyAlignment="1">
      <alignment horizontal="center" wrapText="1"/>
    </xf>
    <xf numFmtId="2" fontId="0" fillId="0" borderId="3" xfId="1" applyNumberFormat="1" applyFont="1" applyBorder="1"/>
    <xf numFmtId="2" fontId="0" fillId="0" borderId="0" xfId="0" applyNumberFormat="1" applyBorder="1" applyAlignment="1"/>
    <xf numFmtId="2" fontId="0" fillId="0" borderId="3" xfId="0" applyNumberFormat="1" applyFont="1" applyBorder="1" applyAlignment="1"/>
    <xf numFmtId="2" fontId="0" fillId="0" borderId="8" xfId="0" applyNumberFormat="1" applyBorder="1" applyAlignment="1"/>
    <xf numFmtId="2" fontId="0" fillId="0" borderId="9" xfId="0" applyNumberFormat="1" applyFont="1" applyBorder="1" applyAlignment="1"/>
    <xf numFmtId="43" fontId="0" fillId="0" borderId="20" xfId="1" applyFont="1" applyBorder="1" applyAlignment="1">
      <alignment horizontal="right"/>
    </xf>
    <xf numFmtId="164" fontId="1" fillId="0" borderId="7" xfId="0" applyNumberFormat="1" applyFont="1" applyBorder="1" applyAlignment="1"/>
    <xf numFmtId="164" fontId="0" fillId="0" borderId="20" xfId="0" applyNumberFormat="1" applyBorder="1" applyAlignment="1"/>
    <xf numFmtId="164" fontId="0" fillId="0" borderId="1" xfId="0" applyNumberFormat="1" applyBorder="1" applyAlignment="1"/>
    <xf numFmtId="43" fontId="0" fillId="0" borderId="7" xfId="1" applyFont="1" applyBorder="1" applyAlignment="1"/>
    <xf numFmtId="171" fontId="0" fillId="0" borderId="7" xfId="1" applyNumberFormat="1" applyFont="1" applyBorder="1" applyAlignment="1"/>
    <xf numFmtId="171" fontId="0" fillId="0" borderId="20" xfId="1" applyNumberFormat="1" applyFont="1" applyBorder="1" applyAlignment="1">
      <alignment horizontal="center" wrapText="1"/>
    </xf>
    <xf numFmtId="171" fontId="0" fillId="0" borderId="1" xfId="1" applyNumberFormat="1" applyFont="1" applyBorder="1" applyAlignment="1"/>
    <xf numFmtId="169" fontId="1" fillId="0" borderId="7" xfId="1" applyNumberFormat="1" applyFont="1" applyBorder="1" applyAlignment="1"/>
    <xf numFmtId="164" fontId="1" fillId="0" borderId="17" xfId="0" applyNumberFormat="1" applyFont="1" applyBorder="1"/>
    <xf numFmtId="0" fontId="0" fillId="0" borderId="16" xfId="0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2" fontId="0" fillId="0" borderId="0" xfId="0" applyNumberFormat="1" applyFont="1" applyBorder="1" applyAlignment="1"/>
    <xf numFmtId="2" fontId="0" fillId="0" borderId="18" xfId="0" applyNumberForma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166" fontId="1" fillId="0" borderId="17" xfId="0" applyNumberFormat="1" applyFont="1" applyBorder="1"/>
    <xf numFmtId="0" fontId="0" fillId="0" borderId="20" xfId="0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6" xfId="0" applyFont="1" applyFill="1" applyBorder="1" applyAlignment="1">
      <alignment horizontal="left"/>
    </xf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Fill="1" applyBorder="1" applyAlignment="1">
      <alignment horizontal="left" vertical="top"/>
    </xf>
    <xf numFmtId="0" fontId="0" fillId="0" borderId="16" xfId="0" applyBorder="1" applyAlignment="1">
      <alignment horizontal="right" vertical="top"/>
    </xf>
    <xf numFmtId="0" fontId="0" fillId="0" borderId="9" xfId="0" applyBorder="1" applyAlignment="1">
      <alignment vertical="top"/>
    </xf>
    <xf numFmtId="171" fontId="0" fillId="0" borderId="20" xfId="0" applyNumberFormat="1" applyFill="1" applyBorder="1" applyAlignment="1">
      <alignment horizontal="center" wrapText="1"/>
    </xf>
    <xf numFmtId="171" fontId="0" fillId="0" borderId="20" xfId="1" applyNumberFormat="1" applyFont="1" applyFill="1" applyBorder="1" applyAlignment="1">
      <alignment horizontal="center" vertical="top" wrapText="1"/>
    </xf>
    <xf numFmtId="171" fontId="0" fillId="0" borderId="7" xfId="1" applyNumberFormat="1" applyFont="1" applyBorder="1" applyAlignment="1">
      <alignment vertical="top"/>
    </xf>
    <xf numFmtId="43" fontId="0" fillId="0" borderId="20" xfId="1" applyFont="1" applyFill="1" applyBorder="1" applyAlignment="1">
      <alignment horizontal="center" vertical="top" wrapText="1"/>
    </xf>
    <xf numFmtId="43" fontId="0" fillId="0" borderId="1" xfId="1" applyFont="1" applyBorder="1" applyAlignment="1">
      <alignment vertical="top"/>
    </xf>
    <xf numFmtId="171" fontId="0" fillId="0" borderId="13" xfId="1" applyNumberFormat="1" applyFont="1" applyBorder="1" applyAlignment="1">
      <alignment horizontal="center" vertical="top" wrapText="1"/>
    </xf>
    <xf numFmtId="171" fontId="0" fillId="0" borderId="1" xfId="1" applyNumberFormat="1" applyFont="1" applyBorder="1" applyAlignment="1">
      <alignment vertical="top"/>
    </xf>
    <xf numFmtId="171" fontId="0" fillId="0" borderId="8" xfId="1" applyNumberFormat="1" applyFont="1" applyBorder="1" applyAlignment="1">
      <alignment vertical="top"/>
    </xf>
    <xf numFmtId="171" fontId="0" fillId="0" borderId="0" xfId="1" applyNumberFormat="1" applyFont="1" applyBorder="1" applyAlignment="1">
      <alignment vertical="top"/>
    </xf>
    <xf numFmtId="171" fontId="0" fillId="0" borderId="0" xfId="1" applyNumberFormat="1" applyFont="1" applyAlignment="1">
      <alignment vertical="top"/>
    </xf>
    <xf numFmtId="164" fontId="0" fillId="0" borderId="7" xfId="0" applyNumberFormat="1" applyBorder="1" applyAlignment="1">
      <alignment vertical="top"/>
    </xf>
    <xf numFmtId="164" fontId="0" fillId="0" borderId="12" xfId="0" applyNumberFormat="1" applyBorder="1" applyAlignment="1">
      <alignment horizontal="right" vertical="top"/>
    </xf>
    <xf numFmtId="172" fontId="1" fillId="0" borderId="21" xfId="1" applyNumberFormat="1" applyFont="1" applyBorder="1" applyAlignment="1">
      <alignment vertical="top"/>
    </xf>
    <xf numFmtId="172" fontId="1" fillId="0" borderId="9" xfId="1" applyNumberFormat="1" applyFont="1" applyBorder="1" applyAlignment="1">
      <alignment vertical="top"/>
    </xf>
    <xf numFmtId="0" fontId="0" fillId="0" borderId="4" xfId="0" applyBorder="1" applyAlignment="1">
      <alignment horizontal="right" wrapText="1"/>
    </xf>
    <xf numFmtId="0" fontId="0" fillId="0" borderId="9" xfId="0" applyBorder="1"/>
    <xf numFmtId="0" fontId="0" fillId="0" borderId="31" xfId="0" applyBorder="1" applyAlignment="1">
      <alignment horizontal="right" wrapText="1"/>
    </xf>
    <xf numFmtId="0" fontId="0" fillId="0" borderId="16" xfId="0" applyBorder="1" applyAlignment="1">
      <alignment horizontal="right" wrapText="1"/>
    </xf>
    <xf numFmtId="164" fontId="1" fillId="0" borderId="7" xfId="0" applyNumberFormat="1" applyFont="1" applyBorder="1" applyAlignment="1">
      <alignment vertical="top"/>
    </xf>
    <xf numFmtId="0" fontId="1" fillId="0" borderId="7" xfId="0" applyFont="1" applyBorder="1"/>
    <xf numFmtId="0" fontId="3" fillId="0" borderId="0" xfId="0" applyFont="1" applyBorder="1" applyAlignment="1">
      <alignment vertical="top" wrapText="1"/>
    </xf>
    <xf numFmtId="0" fontId="0" fillId="0" borderId="4" xfId="0" applyBorder="1" applyAlignment="1">
      <alignment horizontal="right" vertical="top" wrapText="1"/>
    </xf>
    <xf numFmtId="0" fontId="0" fillId="0" borderId="16" xfId="0" applyBorder="1" applyAlignment="1">
      <alignment horizontal="right" vertical="top" wrapText="1"/>
    </xf>
    <xf numFmtId="0" fontId="0" fillId="0" borderId="16" xfId="0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171" fontId="3" fillId="0" borderId="1" xfId="1" applyNumberFormat="1" applyFont="1" applyBorder="1" applyAlignment="1">
      <alignment horizontal="right" vertical="top" wrapText="1"/>
    </xf>
    <xf numFmtId="171" fontId="3" fillId="0" borderId="7" xfId="1" applyNumberFormat="1" applyFont="1" applyBorder="1" applyAlignment="1">
      <alignment horizontal="right" vertical="top" wrapText="1"/>
    </xf>
    <xf numFmtId="43" fontId="0" fillId="0" borderId="20" xfId="1" applyFont="1" applyBorder="1" applyAlignment="1">
      <alignment horizontal="right" wrapText="1"/>
    </xf>
    <xf numFmtId="43" fontId="0" fillId="0" borderId="1" xfId="1" applyFont="1" applyBorder="1" applyAlignment="1">
      <alignment horizontal="right" wrapText="1"/>
    </xf>
    <xf numFmtId="171" fontId="0" fillId="0" borderId="20" xfId="1" applyNumberFormat="1" applyFont="1" applyBorder="1" applyAlignment="1">
      <alignment horizontal="right" wrapText="1"/>
    </xf>
    <xf numFmtId="171" fontId="0" fillId="0" borderId="1" xfId="1" applyNumberFormat="1" applyFont="1" applyBorder="1" applyAlignment="1">
      <alignment horizontal="right" wrapText="1"/>
    </xf>
    <xf numFmtId="171" fontId="0" fillId="0" borderId="7" xfId="1" applyNumberFormat="1" applyFont="1" applyBorder="1" applyAlignment="1">
      <alignment horizontal="right" wrapText="1"/>
    </xf>
    <xf numFmtId="43" fontId="0" fillId="0" borderId="1" xfId="1" applyFont="1" applyBorder="1" applyAlignment="1">
      <alignment wrapText="1"/>
    </xf>
    <xf numFmtId="171" fontId="0" fillId="0" borderId="1" xfId="1" applyNumberFormat="1" applyFont="1" applyBorder="1" applyAlignment="1">
      <alignment wrapText="1"/>
    </xf>
    <xf numFmtId="43" fontId="0" fillId="0" borderId="7" xfId="1" applyFont="1" applyBorder="1" applyAlignment="1">
      <alignment wrapText="1"/>
    </xf>
    <xf numFmtId="171" fontId="0" fillId="0" borderId="7" xfId="1" applyNumberFormat="1" applyFont="1" applyBorder="1" applyAlignment="1">
      <alignment wrapText="1"/>
    </xf>
    <xf numFmtId="43" fontId="0" fillId="0" borderId="7" xfId="1" applyNumberFormat="1" applyFont="1" applyBorder="1" applyAlignment="1">
      <alignment wrapText="1"/>
    </xf>
    <xf numFmtId="43" fontId="0" fillId="0" borderId="20" xfId="1" applyNumberFormat="1" applyFont="1" applyBorder="1" applyAlignment="1">
      <alignment horizontal="right" wrapText="1"/>
    </xf>
    <xf numFmtId="43" fontId="0" fillId="0" borderId="1" xfId="1" applyNumberFormat="1" applyFont="1" applyBorder="1" applyAlignment="1">
      <alignment horizontal="right" wrapText="1"/>
    </xf>
    <xf numFmtId="43" fontId="0" fillId="0" borderId="7" xfId="1" applyNumberFormat="1" applyFont="1" applyBorder="1" applyAlignment="1">
      <alignment horizontal="right"/>
    </xf>
    <xf numFmtId="43" fontId="0" fillId="0" borderId="1" xfId="1" applyNumberFormat="1" applyFont="1" applyBorder="1" applyAlignment="1">
      <alignment wrapText="1"/>
    </xf>
    <xf numFmtId="171" fontId="1" fillId="0" borderId="7" xfId="1" applyNumberFormat="1" applyFont="1" applyBorder="1" applyAlignment="1">
      <alignment vertical="top"/>
    </xf>
    <xf numFmtId="171" fontId="0" fillId="0" borderId="12" xfId="1" applyNumberFormat="1" applyFont="1" applyBorder="1" applyAlignment="1">
      <alignment horizontal="right" vertical="top"/>
    </xf>
    <xf numFmtId="171" fontId="3" fillId="0" borderId="20" xfId="1" applyNumberFormat="1" applyFont="1" applyBorder="1" applyAlignment="1">
      <alignment horizontal="right" wrapText="1"/>
    </xf>
    <xf numFmtId="0" fontId="3" fillId="0" borderId="13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43" fontId="3" fillId="0" borderId="20" xfId="1" applyFont="1" applyBorder="1" applyAlignment="1">
      <alignment horizontal="right" wrapText="1"/>
    </xf>
    <xf numFmtId="43" fontId="3" fillId="0" borderId="1" xfId="1" applyFont="1" applyBorder="1" applyAlignment="1">
      <alignment horizontal="right" wrapText="1"/>
    </xf>
    <xf numFmtId="165" fontId="3" fillId="0" borderId="20" xfId="0" applyNumberFormat="1" applyFont="1" applyBorder="1" applyAlignment="1"/>
    <xf numFmtId="165" fontId="3" fillId="0" borderId="1" xfId="0" applyNumberFormat="1" applyFont="1" applyBorder="1" applyAlignment="1">
      <alignment vertical="top"/>
    </xf>
    <xf numFmtId="165" fontId="3" fillId="0" borderId="1" xfId="0" applyNumberFormat="1" applyFont="1" applyBorder="1" applyAlignment="1">
      <alignment horizontal="right" vertical="top" wrapText="1"/>
    </xf>
    <xf numFmtId="43" fontId="0" fillId="0" borderId="7" xfId="1" applyFont="1" applyBorder="1" applyAlignment="1">
      <alignment vertical="top" wrapText="1"/>
    </xf>
    <xf numFmtId="43" fontId="3" fillId="0" borderId="7" xfId="1" applyFont="1" applyBorder="1" applyAlignment="1">
      <alignment vertical="top" wrapText="1"/>
    </xf>
    <xf numFmtId="43" fontId="0" fillId="0" borderId="1" xfId="1" applyFont="1" applyBorder="1" applyAlignment="1">
      <alignment vertical="top" wrapText="1"/>
    </xf>
    <xf numFmtId="43" fontId="0" fillId="0" borderId="1" xfId="0" applyNumberFormat="1" applyBorder="1" applyAlignment="1">
      <alignment vertical="top" wrapText="1"/>
    </xf>
    <xf numFmtId="0" fontId="3" fillId="0" borderId="20" xfId="0" applyFont="1" applyBorder="1" applyAlignment="1">
      <alignment horizontal="right" vertical="top"/>
    </xf>
    <xf numFmtId="0" fontId="3" fillId="0" borderId="20" xfId="0" applyFont="1" applyBorder="1"/>
    <xf numFmtId="0" fontId="3" fillId="0" borderId="20" xfId="0" applyFont="1" applyBorder="1" applyAlignment="1">
      <alignment horizontal="right"/>
    </xf>
    <xf numFmtId="0" fontId="3" fillId="0" borderId="13" xfId="0" applyFont="1" applyBorder="1" applyAlignment="1">
      <alignment horizontal="center" wrapText="1"/>
    </xf>
    <xf numFmtId="0" fontId="4" fillId="0" borderId="7" xfId="0" applyFont="1" applyBorder="1"/>
    <xf numFmtId="43" fontId="0" fillId="0" borderId="12" xfId="1" applyFont="1" applyBorder="1"/>
    <xf numFmtId="172" fontId="0" fillId="0" borderId="0" xfId="0" applyNumberFormat="1" applyBorder="1" applyAlignment="1">
      <alignment horizontal="right" vertical="top"/>
    </xf>
    <xf numFmtId="170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wrapText="1"/>
    </xf>
    <xf numFmtId="173" fontId="0" fillId="0" borderId="1" xfId="0" applyNumberFormat="1" applyBorder="1"/>
    <xf numFmtId="172" fontId="1" fillId="0" borderId="1" xfId="0" applyNumberFormat="1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172" fontId="1" fillId="0" borderId="1" xfId="0" applyNumberFormat="1" applyFont="1" applyBorder="1" applyAlignment="1">
      <alignment horizontal="right" vertical="top"/>
    </xf>
    <xf numFmtId="43" fontId="1" fillId="0" borderId="1" xfId="0" applyNumberFormat="1" applyFont="1" applyBorder="1" applyAlignment="1">
      <alignment horizontal="right" vertical="top"/>
    </xf>
    <xf numFmtId="0" fontId="0" fillId="0" borderId="1" xfId="0" applyFont="1" applyBorder="1" applyAlignment="1">
      <alignment horizontal="right" wrapText="1"/>
    </xf>
    <xf numFmtId="172" fontId="1" fillId="0" borderId="0" xfId="0" applyNumberFormat="1" applyFont="1" applyBorder="1" applyAlignment="1">
      <alignment horizontal="right"/>
    </xf>
    <xf numFmtId="43" fontId="1" fillId="0" borderId="0" xfId="0" applyNumberFormat="1" applyFont="1" applyBorder="1" applyAlignment="1">
      <alignment horizontal="right"/>
    </xf>
    <xf numFmtId="43" fontId="0" fillId="0" borderId="11" xfId="1" applyNumberFormat="1" applyFont="1" applyBorder="1"/>
    <xf numFmtId="43" fontId="0" fillId="0" borderId="1" xfId="1" applyNumberFormat="1" applyFont="1" applyBorder="1" applyAlignment="1">
      <alignment horizontal="right"/>
    </xf>
    <xf numFmtId="43" fontId="0" fillId="0" borderId="33" xfId="1" applyNumberFormat="1" applyFont="1" applyBorder="1"/>
    <xf numFmtId="44" fontId="0" fillId="0" borderId="34" xfId="0" applyNumberFormat="1" applyFill="1" applyBorder="1" applyAlignment="1">
      <alignment horizontal="center" wrapText="1"/>
    </xf>
    <xf numFmtId="2" fontId="0" fillId="0" borderId="7" xfId="0" applyNumberFormat="1" applyBorder="1" applyAlignment="1">
      <alignment horizontal="right"/>
    </xf>
    <xf numFmtId="0" fontId="0" fillId="0" borderId="29" xfId="0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1" fillId="0" borderId="29" xfId="0" applyFont="1" applyFill="1" applyBorder="1" applyAlignment="1">
      <alignment horizontal="center" wrapText="1"/>
    </xf>
    <xf numFmtId="0" fontId="1" fillId="0" borderId="36" xfId="0" applyFont="1" applyFill="1" applyBorder="1" applyAlignment="1">
      <alignment horizontal="center" wrapText="1"/>
    </xf>
    <xf numFmtId="0" fontId="0" fillId="0" borderId="37" xfId="0" applyBorder="1" applyAlignment="1">
      <alignment wrapText="1"/>
    </xf>
    <xf numFmtId="0" fontId="0" fillId="0" borderId="36" xfId="0" applyBorder="1" applyAlignment="1">
      <alignment wrapText="1"/>
    </xf>
    <xf numFmtId="166" fontId="0" fillId="0" borderId="1" xfId="0" applyNumberFormat="1" applyBorder="1"/>
    <xf numFmtId="43" fontId="0" fillId="0" borderId="0" xfId="0" applyNumberFormat="1"/>
    <xf numFmtId="165" fontId="0" fillId="0" borderId="20" xfId="0" applyNumberFormat="1" applyBorder="1" applyAlignment="1"/>
    <xf numFmtId="165" fontId="0" fillId="0" borderId="1" xfId="0" applyNumberFormat="1" applyBorder="1" applyAlignment="1"/>
    <xf numFmtId="165" fontId="0" fillId="0" borderId="1" xfId="0" applyNumberFormat="1" applyBorder="1" applyAlignment="1">
      <alignment horizontal="right"/>
    </xf>
    <xf numFmtId="43" fontId="0" fillId="0" borderId="18" xfId="1" applyFont="1" applyBorder="1" applyAlignment="1">
      <alignment horizontal="right"/>
    </xf>
    <xf numFmtId="43" fontId="0" fillId="0" borderId="20" xfId="1" applyNumberFormat="1" applyFont="1" applyBorder="1" applyAlignment="1">
      <alignment horizontal="right"/>
    </xf>
    <xf numFmtId="43" fontId="0" fillId="0" borderId="18" xfId="1" applyNumberFormat="1" applyFont="1" applyBorder="1" applyAlignment="1">
      <alignment horizontal="right"/>
    </xf>
    <xf numFmtId="43" fontId="0" fillId="0" borderId="20" xfId="1" applyFont="1" applyFill="1" applyBorder="1" applyAlignment="1">
      <alignment horizontal="center" wrapText="1"/>
    </xf>
    <xf numFmtId="43" fontId="0" fillId="0" borderId="20" xfId="1" applyFont="1" applyBorder="1" applyAlignment="1">
      <alignment horizontal="center" wrapText="1"/>
    </xf>
    <xf numFmtId="43" fontId="0" fillId="0" borderId="1" xfId="1" applyFont="1" applyBorder="1" applyAlignment="1"/>
    <xf numFmtId="43" fontId="0" fillId="0" borderId="0" xfId="1" applyFont="1" applyBorder="1" applyAlignment="1">
      <alignment horizontal="right"/>
    </xf>
    <xf numFmtId="43" fontId="0" fillId="0" borderId="0" xfId="1" applyFont="1" applyBorder="1" applyAlignment="1"/>
    <xf numFmtId="43" fontId="0" fillId="0" borderId="8" xfId="1" applyFont="1" applyBorder="1" applyAlignment="1">
      <alignment horizontal="right"/>
    </xf>
    <xf numFmtId="43" fontId="0" fillId="0" borderId="8" xfId="1" applyFont="1" applyBorder="1" applyAlignment="1"/>
    <xf numFmtId="0" fontId="4" fillId="0" borderId="13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/>
    </xf>
    <xf numFmtId="43" fontId="3" fillId="0" borderId="1" xfId="1" applyFont="1" applyBorder="1" applyAlignment="1">
      <alignment horizontal="right"/>
    </xf>
    <xf numFmtId="43" fontId="3" fillId="0" borderId="7" xfId="1" applyFont="1" applyBorder="1"/>
    <xf numFmtId="43" fontId="0" fillId="0" borderId="7" xfId="1" applyFont="1" applyBorder="1" applyAlignment="1">
      <alignment vertical="top"/>
    </xf>
    <xf numFmtId="171" fontId="3" fillId="0" borderId="1" xfId="1" applyNumberFormat="1" applyFont="1" applyBorder="1" applyAlignment="1">
      <alignment horizontal="right" vertical="top"/>
    </xf>
    <xf numFmtId="171" fontId="3" fillId="0" borderId="7" xfId="1" applyNumberFormat="1" applyFont="1" applyBorder="1" applyAlignment="1">
      <alignment horizontal="right" vertical="top"/>
    </xf>
    <xf numFmtId="0" fontId="4" fillId="0" borderId="13" xfId="0" applyFont="1" applyBorder="1" applyAlignment="1">
      <alignment horizontal="center" wrapText="1"/>
    </xf>
    <xf numFmtId="166" fontId="0" fillId="0" borderId="0" xfId="0" applyNumberFormat="1" applyBorder="1"/>
    <xf numFmtId="173" fontId="0" fillId="0" borderId="0" xfId="0" applyNumberFormat="1" applyBorder="1"/>
    <xf numFmtId="169" fontId="1" fillId="0" borderId="7" xfId="1" applyNumberFormat="1" applyFont="1" applyBorder="1" applyAlignment="1">
      <alignment vertical="top" wrapText="1"/>
    </xf>
    <xf numFmtId="171" fontId="0" fillId="0" borderId="20" xfId="1" applyNumberFormat="1" applyFont="1" applyBorder="1" applyAlignment="1">
      <alignment horizontal="center" vertical="top" wrapText="1"/>
    </xf>
    <xf numFmtId="171" fontId="0" fillId="0" borderId="7" xfId="1" applyNumberFormat="1" applyFont="1" applyBorder="1" applyAlignment="1">
      <alignment vertical="top" wrapText="1"/>
    </xf>
    <xf numFmtId="43" fontId="0" fillId="0" borderId="0" xfId="1" applyFont="1" applyBorder="1" applyAlignment="1">
      <alignment vertical="top"/>
    </xf>
    <xf numFmtId="171" fontId="0" fillId="0" borderId="0" xfId="1" applyNumberFormat="1" applyFont="1" applyBorder="1"/>
    <xf numFmtId="0" fontId="0" fillId="0" borderId="32" xfId="0" applyBorder="1" applyAlignment="1">
      <alignment horizontal="right"/>
    </xf>
    <xf numFmtId="171" fontId="3" fillId="0" borderId="7" xfId="1" applyNumberFormat="1" applyFont="1" applyBorder="1" applyAlignment="1">
      <alignment vertical="top" wrapText="1"/>
    </xf>
    <xf numFmtId="171" fontId="0" fillId="0" borderId="1" xfId="1" applyNumberFormat="1" applyFont="1" applyBorder="1" applyAlignment="1">
      <alignment vertical="top" wrapText="1"/>
    </xf>
    <xf numFmtId="167" fontId="0" fillId="0" borderId="0" xfId="1" applyNumberFormat="1" applyFont="1" applyBorder="1" applyAlignment="1">
      <alignment vertical="top"/>
    </xf>
    <xf numFmtId="171" fontId="0" fillId="0" borderId="1" xfId="0" applyNumberFormat="1" applyBorder="1" applyAlignment="1">
      <alignment vertical="top"/>
    </xf>
    <xf numFmtId="171" fontId="0" fillId="0" borderId="11" xfId="1" applyNumberFormat="1" applyFont="1" applyBorder="1" applyAlignment="1">
      <alignment vertical="top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 vertical="top"/>
    </xf>
    <xf numFmtId="171" fontId="0" fillId="0" borderId="40" xfId="1" applyNumberFormat="1" applyFont="1" applyBorder="1" applyAlignment="1">
      <alignment vertical="top"/>
    </xf>
    <xf numFmtId="171" fontId="0" fillId="0" borderId="12" xfId="1" applyNumberFormat="1" applyFon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0" fontId="3" fillId="0" borderId="20" xfId="0" applyFont="1" applyBorder="1" applyAlignment="1">
      <alignment horizontal="right" vertical="top" wrapText="1"/>
    </xf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right" wrapText="1"/>
    </xf>
    <xf numFmtId="2" fontId="0" fillId="0" borderId="3" xfId="1" applyNumberFormat="1" applyFont="1" applyBorder="1" applyAlignment="1">
      <alignment wrapText="1"/>
    </xf>
    <xf numFmtId="44" fontId="3" fillId="0" borderId="7" xfId="1" applyNumberFormat="1" applyFont="1" applyBorder="1" applyAlignment="1">
      <alignment horizontal="right" vertical="top"/>
    </xf>
    <xf numFmtId="172" fontId="1" fillId="0" borderId="0" xfId="1" applyNumberFormat="1" applyFont="1" applyBorder="1" applyAlignment="1">
      <alignment vertical="top"/>
    </xf>
    <xf numFmtId="0" fontId="0" fillId="0" borderId="41" xfId="0" applyBorder="1" applyAlignment="1">
      <alignment horizontal="right"/>
    </xf>
    <xf numFmtId="0" fontId="0" fillId="0" borderId="41" xfId="0" applyBorder="1" applyAlignment="1">
      <alignment horizontal="right" vertical="top"/>
    </xf>
    <xf numFmtId="43" fontId="0" fillId="0" borderId="41" xfId="1" applyFont="1" applyBorder="1" applyAlignment="1">
      <alignment horizontal="right"/>
    </xf>
    <xf numFmtId="0" fontId="0" fillId="0" borderId="42" xfId="0" applyFill="1" applyBorder="1" applyAlignment="1">
      <alignment horizontal="left"/>
    </xf>
    <xf numFmtId="0" fontId="0" fillId="0" borderId="41" xfId="0" applyBorder="1"/>
    <xf numFmtId="43" fontId="0" fillId="0" borderId="41" xfId="1" applyFont="1" applyBorder="1"/>
    <xf numFmtId="0" fontId="0" fillId="0" borderId="42" xfId="0" applyBorder="1"/>
    <xf numFmtId="43" fontId="0" fillId="0" borderId="42" xfId="1" applyFont="1" applyBorder="1"/>
    <xf numFmtId="0" fontId="0" fillId="0" borderId="39" xfId="0" applyFill="1" applyBorder="1"/>
    <xf numFmtId="43" fontId="0" fillId="0" borderId="9" xfId="1" applyFont="1" applyBorder="1"/>
    <xf numFmtId="174" fontId="0" fillId="0" borderId="1" xfId="0" applyNumberFormat="1" applyBorder="1"/>
    <xf numFmtId="43" fontId="0" fillId="0" borderId="1" xfId="1" applyFont="1" applyBorder="1" applyAlignment="1">
      <alignment horizontal="right" vertical="top"/>
    </xf>
    <xf numFmtId="43" fontId="0" fillId="0" borderId="13" xfId="1" applyFont="1" applyBorder="1" applyAlignment="1">
      <alignment horizontal="center" vertical="top" wrapText="1"/>
    </xf>
    <xf numFmtId="43" fontId="0" fillId="0" borderId="0" xfId="1" applyFont="1" applyBorder="1" applyAlignment="1">
      <alignment horizontal="right" vertical="top"/>
    </xf>
    <xf numFmtId="43" fontId="0" fillId="0" borderId="12" xfId="1" applyFont="1" applyBorder="1" applyAlignment="1">
      <alignment horizontal="right"/>
    </xf>
    <xf numFmtId="43" fontId="0" fillId="0" borderId="0" xfId="1" applyFont="1" applyAlignment="1">
      <alignment vertical="top"/>
    </xf>
    <xf numFmtId="164" fontId="0" fillId="0" borderId="1" xfId="0" applyNumberFormat="1" applyBorder="1" applyAlignment="1">
      <alignment vertical="top"/>
    </xf>
    <xf numFmtId="169" fontId="1" fillId="0" borderId="21" xfId="1" applyNumberFormat="1" applyFont="1" applyBorder="1" applyAlignment="1"/>
    <xf numFmtId="169" fontId="1" fillId="0" borderId="21" xfId="1" applyNumberFormat="1" applyFont="1" applyBorder="1" applyAlignment="1">
      <alignment vertical="top"/>
    </xf>
    <xf numFmtId="169" fontId="1" fillId="0" borderId="22" xfId="1" applyNumberFormat="1" applyFont="1" applyBorder="1" applyAlignment="1">
      <alignment vertical="top"/>
    </xf>
    <xf numFmtId="43" fontId="0" fillId="0" borderId="0" xfId="0" applyNumberFormat="1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164" fontId="0" fillId="0" borderId="43" xfId="0" applyNumberFormat="1" applyBorder="1" applyAlignment="1">
      <alignment vertical="top"/>
    </xf>
    <xf numFmtId="43" fontId="0" fillId="0" borderId="12" xfId="1" applyFont="1" applyBorder="1" applyAlignment="1">
      <alignment horizontal="right" vertical="top"/>
    </xf>
    <xf numFmtId="43" fontId="0" fillId="0" borderId="0" xfId="0" applyNumberFormat="1" applyAlignment="1">
      <alignment vertical="top"/>
    </xf>
    <xf numFmtId="171" fontId="3" fillId="0" borderId="7" xfId="1" applyNumberFormat="1" applyFont="1" applyBorder="1" applyAlignment="1">
      <alignment horizontal="right" wrapText="1"/>
    </xf>
    <xf numFmtId="165" fontId="4" fillId="0" borderId="7" xfId="0" applyNumberFormat="1" applyFont="1" applyBorder="1" applyAlignment="1">
      <alignment vertical="top"/>
    </xf>
    <xf numFmtId="43" fontId="3" fillId="0" borderId="7" xfId="1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259416</xdr:colOff>
      <xdr:row>0</xdr:row>
      <xdr:rowOff>0</xdr:rowOff>
    </xdr:from>
    <xdr:to>
      <xdr:col>17</xdr:col>
      <xdr:colOff>231962</xdr:colOff>
      <xdr:row>8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016" y="0"/>
          <a:ext cx="9726146" cy="1695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63874</xdr:rowOff>
    </xdr:from>
    <xdr:to>
      <xdr:col>15</xdr:col>
      <xdr:colOff>567018</xdr:colOff>
      <xdr:row>17</xdr:row>
      <xdr:rowOff>187699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968874"/>
          <a:ext cx="9711018" cy="14573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352985</xdr:colOff>
      <xdr:row>18</xdr:row>
      <xdr:rowOff>95250</xdr:rowOff>
    </xdr:from>
    <xdr:to>
      <xdr:col>13</xdr:col>
      <xdr:colOff>290232</xdr:colOff>
      <xdr:row>25</xdr:row>
      <xdr:rowOff>161020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62585" y="3524250"/>
          <a:ext cx="7252447" cy="13992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"/>
  <sheetViews>
    <sheetView zoomScaleNormal="100" workbookViewId="0">
      <selection activeCell="L55" sqref="L55"/>
    </sheetView>
  </sheetViews>
  <sheetFormatPr defaultRowHeight="15"/>
  <cols>
    <col min="1" max="1" width="14.85546875" customWidth="1"/>
    <col min="2" max="2" width="13.5703125" customWidth="1"/>
    <col min="3" max="3" width="15.140625" customWidth="1"/>
    <col min="4" max="4" width="14.140625" customWidth="1"/>
    <col min="5" max="5" width="3" customWidth="1"/>
    <col min="6" max="7" width="15" customWidth="1"/>
    <col min="8" max="8" width="15.28515625" customWidth="1"/>
    <col min="9" max="9" width="14.42578125" customWidth="1"/>
    <col min="10" max="10" width="2.7109375" customWidth="1"/>
    <col min="11" max="12" width="14" customWidth="1"/>
    <col min="13" max="13" width="14.42578125" customWidth="1"/>
    <col min="14" max="14" width="13.7109375" customWidth="1"/>
    <col min="15" max="15" width="14.140625" customWidth="1"/>
    <col min="16" max="16" width="12.7109375" customWidth="1"/>
  </cols>
  <sheetData>
    <row r="1" spans="1:14">
      <c r="A1" s="61" t="s">
        <v>63</v>
      </c>
      <c r="B1" s="61"/>
      <c r="C1" s="61"/>
    </row>
    <row r="2" spans="1:14" ht="35.25" customHeight="1">
      <c r="A2" s="53">
        <v>2011</v>
      </c>
      <c r="B2" s="54" t="s">
        <v>14</v>
      </c>
      <c r="C2" s="54" t="s">
        <v>46</v>
      </c>
      <c r="D2" s="54" t="s">
        <v>20</v>
      </c>
      <c r="E2" s="51"/>
      <c r="F2" s="53">
        <v>2010</v>
      </c>
      <c r="G2" s="54" t="s">
        <v>14</v>
      </c>
      <c r="H2" s="54" t="str">
        <f>C2</f>
        <v>Generation MWh</v>
      </c>
      <c r="I2" s="54" t="s">
        <v>20</v>
      </c>
      <c r="K2" s="53">
        <v>2009</v>
      </c>
      <c r="L2" s="54" t="s">
        <v>14</v>
      </c>
      <c r="M2" s="54" t="str">
        <f>H2</f>
        <v>Generation MWh</v>
      </c>
      <c r="N2" s="54" t="s">
        <v>20</v>
      </c>
    </row>
    <row r="3" spans="1:14">
      <c r="A3" s="50" t="s">
        <v>0</v>
      </c>
      <c r="B3" s="1">
        <f>'Costa Rica'!C2</f>
        <v>7.3024304775251694E-2</v>
      </c>
      <c r="C3" s="70">
        <f>'Costa Rica'!E2</f>
        <v>9747766.402733637</v>
      </c>
      <c r="D3" s="90">
        <f>C3*B3</f>
        <v>711823.86467117991</v>
      </c>
      <c r="E3" s="10"/>
      <c r="F3" s="50" t="s">
        <v>0</v>
      </c>
      <c r="G3" s="1">
        <f>'Costa Rica'!C9</f>
        <v>6.301189979602756E-2</v>
      </c>
      <c r="H3" s="70">
        <f>'Costa Rica'!E9</f>
        <v>9488986.9859707747</v>
      </c>
      <c r="I3" s="70">
        <f>H3*G3</f>
        <v>597919.09712579998</v>
      </c>
      <c r="K3" s="50" t="s">
        <v>0</v>
      </c>
      <c r="L3" s="1">
        <f>'Costa Rica'!C16</f>
        <v>3.7881390996792615E-2</v>
      </c>
      <c r="M3" s="70">
        <f>'Costa Rica'!E16</f>
        <v>9168283.4724888057</v>
      </c>
      <c r="N3" s="70">
        <f>M3*L3</f>
        <v>347307.33099077997</v>
      </c>
    </row>
    <row r="4" spans="1:14">
      <c r="A4" s="52" t="s">
        <v>17</v>
      </c>
      <c r="B4" s="1">
        <f>'El Salvador'!C2</f>
        <v>8.5794892287759647E-2</v>
      </c>
      <c r="C4" s="71">
        <f>'El Salvador'!E2</f>
        <v>5728600</v>
      </c>
      <c r="D4" s="70">
        <f t="shared" ref="D4:D8" si="0">C4*B4</f>
        <v>491484.61995965993</v>
      </c>
      <c r="E4" s="10"/>
      <c r="F4" s="52" t="s">
        <v>17</v>
      </c>
      <c r="G4" s="1">
        <f>'El Salvador'!C9</f>
        <v>8.5136370370919326E-2</v>
      </c>
      <c r="H4" s="71">
        <f>'El Salvador'!E9</f>
        <v>5649800</v>
      </c>
      <c r="I4" s="70">
        <f t="shared" ref="I4:I8" si="1">H4*G4</f>
        <v>481003.46532161999</v>
      </c>
      <c r="K4" s="52" t="s">
        <v>17</v>
      </c>
      <c r="L4" s="1">
        <f>'El Salvador'!C16</f>
        <v>0.12150173612738892</v>
      </c>
      <c r="M4" s="71">
        <f>'El Salvador'!E16</f>
        <v>5444900</v>
      </c>
      <c r="N4" s="70">
        <f t="shared" ref="N4:N8" si="2">M4*L4</f>
        <v>661564.80304001993</v>
      </c>
    </row>
    <row r="5" spans="1:14">
      <c r="A5" s="52" t="s">
        <v>18</v>
      </c>
      <c r="B5" s="1">
        <f>Guatemala!C2</f>
        <v>0.20307891464560171</v>
      </c>
      <c r="C5" s="71">
        <f>Guatemala!E2</f>
        <v>8146570</v>
      </c>
      <c r="D5" s="70">
        <f t="shared" si="0"/>
        <v>1654396.5936844195</v>
      </c>
      <c r="E5" s="10"/>
      <c r="F5" s="52" t="s">
        <v>18</v>
      </c>
      <c r="G5" s="49">
        <f>Guatemala!C9</f>
        <v>0.20669961036147425</v>
      </c>
      <c r="H5" s="71">
        <f>Guatemala!E9</f>
        <v>7914090</v>
      </c>
      <c r="I5" s="254">
        <f t="shared" si="1"/>
        <v>1635839.3193656397</v>
      </c>
      <c r="K5" s="52" t="s">
        <v>18</v>
      </c>
      <c r="L5" s="1">
        <f>Guatemala!C16</f>
        <v>0.31579601604911672</v>
      </c>
      <c r="M5" s="71">
        <f>Guatemala!E16</f>
        <v>7746538.46</v>
      </c>
      <c r="N5" s="70">
        <f t="shared" si="2"/>
        <v>2446325.9838392599</v>
      </c>
    </row>
    <row r="6" spans="1:14">
      <c r="A6" s="52" t="s">
        <v>19</v>
      </c>
      <c r="B6" s="1">
        <v>0.34322105790381729</v>
      </c>
      <c r="C6" s="71">
        <f>Honduras!E2</f>
        <v>7169700</v>
      </c>
      <c r="D6" s="70">
        <f t="shared" si="0"/>
        <v>2460792.018852999</v>
      </c>
      <c r="E6" s="10"/>
      <c r="F6" s="52" t="s">
        <v>19</v>
      </c>
      <c r="G6" s="49">
        <f>Honduras!C9</f>
        <v>0.31317055409553146</v>
      </c>
      <c r="H6" s="71">
        <f>Honduras!E9</f>
        <v>6765100</v>
      </c>
      <c r="I6" s="254">
        <f t="shared" si="1"/>
        <v>2118630.11551168</v>
      </c>
      <c r="K6" s="52" t="s">
        <v>19</v>
      </c>
      <c r="L6" s="1">
        <f>Honduras!C16</f>
        <v>0.32606008100706435</v>
      </c>
      <c r="M6" s="71">
        <f>Honduras!E16</f>
        <v>6613400</v>
      </c>
      <c r="N6" s="254">
        <f t="shared" si="2"/>
        <v>2156365.7397321193</v>
      </c>
    </row>
    <row r="7" spans="1:14">
      <c r="A7" s="52" t="s">
        <v>4</v>
      </c>
      <c r="B7" s="1">
        <f>Nicaragua!C2</f>
        <v>0.45687178550125113</v>
      </c>
      <c r="C7" s="71">
        <f>Nicaragua!E2</f>
        <v>3777654.95</v>
      </c>
      <c r="D7" s="70">
        <f t="shared" si="0"/>
        <v>1725903.9620141396</v>
      </c>
      <c r="E7" s="10"/>
      <c r="F7" s="52" t="s">
        <v>4</v>
      </c>
      <c r="G7" s="49">
        <f>Nicaragua!C9</f>
        <v>0.39701398073054472</v>
      </c>
      <c r="H7" s="71">
        <f>Nicaragua!E9</f>
        <v>3614471.68</v>
      </c>
      <c r="I7" s="254">
        <f t="shared" si="1"/>
        <v>1434995.7899146196</v>
      </c>
      <c r="K7" s="52" t="s">
        <v>4</v>
      </c>
      <c r="L7" s="1">
        <f>Nicaragua!C16</f>
        <v>0.48634449398417162</v>
      </c>
      <c r="M7" s="71">
        <f>Nicaragua!E16</f>
        <v>3409453.17</v>
      </c>
      <c r="N7" s="70">
        <f t="shared" si="2"/>
        <v>1658168.7767263798</v>
      </c>
    </row>
    <row r="8" spans="1:14">
      <c r="A8" s="52" t="s">
        <v>5</v>
      </c>
      <c r="B8" s="1">
        <f>Panama!C2</f>
        <v>0.26178149701139986</v>
      </c>
      <c r="C8" s="71">
        <f>Panama!E2</f>
        <v>7714990</v>
      </c>
      <c r="D8" s="70">
        <f t="shared" si="0"/>
        <v>2019641.6316279797</v>
      </c>
      <c r="E8" s="9"/>
      <c r="F8" s="52" t="s">
        <v>5</v>
      </c>
      <c r="G8" s="1">
        <f>Panama!C8</f>
        <v>0.18530251552803104</v>
      </c>
      <c r="H8" s="71">
        <f>Panama!E8</f>
        <v>7484730</v>
      </c>
      <c r="I8" s="70">
        <f t="shared" si="1"/>
        <v>1386939.2970481198</v>
      </c>
      <c r="K8" s="52" t="s">
        <v>5</v>
      </c>
      <c r="L8" s="1">
        <f>Panama!C14</f>
        <v>0.12418050446935205</v>
      </c>
      <c r="M8" s="71">
        <f>Panama!E14</f>
        <v>6864740</v>
      </c>
      <c r="N8" s="70">
        <f t="shared" si="2"/>
        <v>852466.87625093979</v>
      </c>
    </row>
    <row r="9" spans="1:14">
      <c r="A9" s="52" t="s">
        <v>55</v>
      </c>
      <c r="B9" s="1">
        <f>Mexico!C2</f>
        <v>0.2139018339615531</v>
      </c>
      <c r="C9" s="71">
        <f>Mexico!E2</f>
        <v>257884000</v>
      </c>
      <c r="D9" s="70">
        <f>Mexico!D2</f>
        <v>55161860.549341157</v>
      </c>
      <c r="E9" s="9"/>
      <c r="F9" s="52" t="str">
        <f>A9</f>
        <v>Mexico</v>
      </c>
      <c r="G9" s="1">
        <f>Mexico!C9</f>
        <v>0.21029451910258146</v>
      </c>
      <c r="H9" s="71">
        <f>Mexico!E9</f>
        <v>241506000</v>
      </c>
      <c r="I9" s="70">
        <f>Mexico!D9</f>
        <v>50787388.130388036</v>
      </c>
      <c r="K9" s="52" t="str">
        <f>F9</f>
        <v>Mexico</v>
      </c>
      <c r="L9" s="1">
        <f>Mexico!C16</f>
        <v>0.22160852300881206</v>
      </c>
      <c r="M9" s="71">
        <f>Mexico!E16</f>
        <v>233472000</v>
      </c>
      <c r="N9" s="70">
        <f>Mexico!D16</f>
        <v>51739385.083913371</v>
      </c>
    </row>
    <row r="10" spans="1:14">
      <c r="A10" s="52" t="s">
        <v>57</v>
      </c>
      <c r="B10" s="1">
        <f>Belize!C2</f>
        <v>1.8633017039215698E-2</v>
      </c>
      <c r="C10" s="71">
        <f>Belize!E2</f>
        <v>322229.62</v>
      </c>
      <c r="D10" s="70">
        <f>Belize!D2</f>
        <v>6004.11</v>
      </c>
      <c r="E10" s="9"/>
      <c r="F10" s="52" t="str">
        <f>A10</f>
        <v>Belize</v>
      </c>
      <c r="G10" s="1">
        <f>Belize!C8</f>
        <v>2.9260948025129831E-2</v>
      </c>
      <c r="H10" s="71">
        <f>Belize!E8</f>
        <v>323394.17</v>
      </c>
      <c r="I10" s="70">
        <f>Belize!D8</f>
        <v>9462.82</v>
      </c>
      <c r="K10" s="52" t="str">
        <f>F10</f>
        <v>Belize</v>
      </c>
      <c r="L10" s="1">
        <f>Belize!C14</f>
        <v>0.19551659213703376</v>
      </c>
      <c r="M10" s="71">
        <f>Belize!E14</f>
        <v>256580.27</v>
      </c>
      <c r="N10" s="70">
        <f>Belize!D14</f>
        <v>50165.7</v>
      </c>
    </row>
    <row r="11" spans="1:14" ht="15.75" thickBot="1">
      <c r="A11" s="325" t="s">
        <v>21</v>
      </c>
      <c r="B11" s="326">
        <f>D11/C11</f>
        <v>0.21375614619602315</v>
      </c>
      <c r="C11" s="327">
        <f>SUM(C3:C10)</f>
        <v>300491510.97273362</v>
      </c>
      <c r="D11" s="327">
        <f>SUM(D3:D10)</f>
        <v>64231907.350151539</v>
      </c>
      <c r="E11" s="9"/>
      <c r="F11" s="328" t="s">
        <v>21</v>
      </c>
      <c r="G11" s="329">
        <f>I11/H11</f>
        <v>0.20672992584276259</v>
      </c>
      <c r="H11" s="330">
        <f>SUM(H3:H10)</f>
        <v>282746572.83597082</v>
      </c>
      <c r="I11" s="330">
        <f>SUM(I3:I10)</f>
        <v>58452178.034675516</v>
      </c>
      <c r="K11" s="328" t="s">
        <v>21</v>
      </c>
      <c r="L11" s="331">
        <f>N11/M11</f>
        <v>0.2194763395234601</v>
      </c>
      <c r="M11" s="332">
        <f>SUM(M3:M10)</f>
        <v>272975895.3724888</v>
      </c>
      <c r="N11" s="332">
        <f>SUM(N3:N10)</f>
        <v>59911750.294492871</v>
      </c>
    </row>
    <row r="12" spans="1:14" ht="15.75" thickTop="1">
      <c r="A12" s="9"/>
      <c r="B12" s="6"/>
      <c r="C12" s="6"/>
      <c r="D12" s="6"/>
      <c r="E12" s="9"/>
      <c r="F12" s="9"/>
      <c r="G12" s="9"/>
      <c r="H12" s="10"/>
      <c r="I12" s="10"/>
      <c r="J12" s="47"/>
      <c r="K12" s="47"/>
    </row>
    <row r="13" spans="1:14" ht="16.5" customHeight="1">
      <c r="A13" s="61" t="s">
        <v>23</v>
      </c>
      <c r="B13" s="61"/>
      <c r="C13" s="61"/>
      <c r="E13" s="9"/>
      <c r="F13" s="9"/>
      <c r="G13" s="9"/>
      <c r="H13" s="10"/>
      <c r="I13" s="10"/>
      <c r="J13" s="47"/>
      <c r="K13" s="47"/>
    </row>
    <row r="14" spans="1:14" ht="33" customHeight="1">
      <c r="A14" s="53">
        <v>2011</v>
      </c>
      <c r="B14" s="54" t="s">
        <v>14</v>
      </c>
      <c r="C14" s="54" t="str">
        <f>C2</f>
        <v>Generation MWh</v>
      </c>
      <c r="D14" s="54" t="s">
        <v>20</v>
      </c>
      <c r="E14" s="51"/>
      <c r="F14" s="53">
        <v>2010</v>
      </c>
      <c r="G14" s="54" t="s">
        <v>14</v>
      </c>
      <c r="H14" s="54" t="str">
        <f>C14</f>
        <v>Generation MWh</v>
      </c>
      <c r="I14" s="54" t="s">
        <v>20</v>
      </c>
      <c r="K14" s="53">
        <v>2009</v>
      </c>
      <c r="L14" s="54" t="s">
        <v>14</v>
      </c>
      <c r="M14" s="54" t="str">
        <f>H14</f>
        <v>Generation MWh</v>
      </c>
      <c r="N14" s="54" t="s">
        <v>20</v>
      </c>
    </row>
    <row r="15" spans="1:14">
      <c r="A15" s="50" t="s">
        <v>0</v>
      </c>
      <c r="B15" s="1">
        <f>'Costa Rica'!F2</f>
        <v>7.5866955268035149E-2</v>
      </c>
      <c r="C15" s="70">
        <f>'Costa Rica'!E4</f>
        <v>9824367.402733637</v>
      </c>
      <c r="D15" s="70">
        <f>C15*B15</f>
        <v>745344.84227993549</v>
      </c>
      <c r="E15" s="10"/>
      <c r="F15" s="50" t="s">
        <v>0</v>
      </c>
      <c r="G15" s="1">
        <f>'Costa Rica'!F9</f>
        <v>6.6831046618549786E-2</v>
      </c>
      <c r="H15" s="70">
        <f>'Costa Rica'!E11</f>
        <v>9623223.9859707747</v>
      </c>
      <c r="I15" s="70">
        <f>H15*G15</f>
        <v>643130.13082715939</v>
      </c>
      <c r="K15" s="50" t="s">
        <v>0</v>
      </c>
      <c r="L15" s="1">
        <f>'Costa Rica'!F16</f>
        <v>4.0740479054259891E-2</v>
      </c>
      <c r="M15" s="70">
        <f>'Costa Rica'!E18</f>
        <v>9303190.4724888057</v>
      </c>
      <c r="N15" s="70">
        <f>M15*L15</f>
        <v>379016.43658222037</v>
      </c>
    </row>
    <row r="16" spans="1:14">
      <c r="A16" s="52" t="s">
        <v>17</v>
      </c>
      <c r="B16" s="1">
        <f>'El Salvador'!F2</f>
        <v>9.162414552772169E-2</v>
      </c>
      <c r="C16" s="71">
        <f>'El Salvador'!E4</f>
        <v>5946469</v>
      </c>
      <c r="D16" s="70">
        <f t="shared" ref="D16:D20" si="3">C16*B16</f>
        <v>544840.14103208564</v>
      </c>
      <c r="E16" s="10"/>
      <c r="F16" s="52" t="s">
        <v>17</v>
      </c>
      <c r="G16" s="1">
        <f>'El Salvador'!F9</f>
        <v>9.0170228957257056E-2</v>
      </c>
      <c r="H16" s="71">
        <f>'El Salvador'!E11</f>
        <v>5833548</v>
      </c>
      <c r="I16" s="70">
        <f t="shared" ref="I16:I20" si="4">H16*G16</f>
        <v>526012.358793149</v>
      </c>
      <c r="K16" s="52" t="s">
        <v>17</v>
      </c>
      <c r="L16" s="1">
        <f>'El Salvador'!F16</f>
        <v>0.12776180205788681</v>
      </c>
      <c r="M16" s="71">
        <f>'El Salvador'!E18</f>
        <v>5621033</v>
      </c>
      <c r="N16" s="70">
        <f t="shared" ref="N16:N20" si="5">M16*L16</f>
        <v>718153.30550684966</v>
      </c>
    </row>
    <row r="17" spans="1:14">
      <c r="A17" s="52" t="s">
        <v>18</v>
      </c>
      <c r="B17" s="1">
        <f>Guatemala!F2</f>
        <v>0.20369922681609764</v>
      </c>
      <c r="C17" s="71">
        <f>Guatemala!E4</f>
        <v>8642793</v>
      </c>
      <c r="D17" s="70">
        <f t="shared" si="3"/>
        <v>1760530.251631581</v>
      </c>
      <c r="E17" s="10"/>
      <c r="F17" s="52" t="s">
        <v>18</v>
      </c>
      <c r="G17" s="1">
        <f>Guatemala!F9</f>
        <v>0.20685101127866642</v>
      </c>
      <c r="H17" s="71">
        <f>Guatemala!E11</f>
        <v>8267901</v>
      </c>
      <c r="I17" s="70">
        <f t="shared" si="4"/>
        <v>1710223.6830018973</v>
      </c>
      <c r="K17" s="52" t="s">
        <v>18</v>
      </c>
      <c r="L17" s="1">
        <f>Guatemala!F16</f>
        <v>0.31522846640842289</v>
      </c>
      <c r="M17" s="71">
        <f>Guatemala!E18</f>
        <v>7778999.46</v>
      </c>
      <c r="N17" s="70">
        <f t="shared" si="5"/>
        <v>2452162.06996775</v>
      </c>
    </row>
    <row r="18" spans="1:14">
      <c r="A18" s="52" t="s">
        <v>19</v>
      </c>
      <c r="B18" s="1">
        <f>Honduras!F2</f>
        <v>0.34066156200020625</v>
      </c>
      <c r="C18" s="71">
        <f>Honduras!E4</f>
        <v>7340831</v>
      </c>
      <c r="D18" s="70">
        <f t="shared" si="3"/>
        <v>2500738.954839536</v>
      </c>
      <c r="E18" s="10"/>
      <c r="F18" s="52" t="s">
        <v>19</v>
      </c>
      <c r="G18" s="1">
        <f>Honduras!F9</f>
        <v>0.31069583970802528</v>
      </c>
      <c r="H18" s="71">
        <f>Honduras!E11</f>
        <v>6925337</v>
      </c>
      <c r="I18" s="70">
        <f t="shared" si="4"/>
        <v>2151673.3944760566</v>
      </c>
      <c r="K18" s="52" t="s">
        <v>19</v>
      </c>
      <c r="L18" s="1">
        <f>Honduras!F16</f>
        <v>0.32643048429937022</v>
      </c>
      <c r="M18" s="71">
        <f>Honduras!E18</f>
        <v>6702981</v>
      </c>
      <c r="N18" s="254">
        <f t="shared" si="5"/>
        <v>2188057.334079477</v>
      </c>
    </row>
    <row r="19" spans="1:14">
      <c r="A19" s="52" t="s">
        <v>4</v>
      </c>
      <c r="B19" s="1">
        <f>Nicaragua!F2</f>
        <v>0.45075884339306727</v>
      </c>
      <c r="C19" s="71">
        <f>Nicaragua!E4</f>
        <v>3883144.95</v>
      </c>
      <c r="D19" s="70">
        <f t="shared" si="3"/>
        <v>1750361.9263896302</v>
      </c>
      <c r="E19" s="10"/>
      <c r="F19" s="52" t="s">
        <v>4</v>
      </c>
      <c r="G19" s="1">
        <f>Nicaragua!F9</f>
        <v>0.39160958912684324</v>
      </c>
      <c r="H19" s="71">
        <f>Nicaragua!E11</f>
        <v>3738887.68</v>
      </c>
      <c r="I19" s="70">
        <f t="shared" si="4"/>
        <v>1464184.2681562162</v>
      </c>
      <c r="K19" s="52" t="s">
        <v>4</v>
      </c>
      <c r="L19" s="1">
        <f>Nicaragua!F16</f>
        <v>0.47718433257316639</v>
      </c>
      <c r="M19" s="71">
        <f>Nicaragua!E18</f>
        <v>3507735.17</v>
      </c>
      <c r="N19" s="70">
        <f t="shared" si="5"/>
        <v>1673836.2659398722</v>
      </c>
    </row>
    <row r="20" spans="1:14">
      <c r="A20" s="52" t="s">
        <v>5</v>
      </c>
      <c r="B20" s="1">
        <f>Panama!F2</f>
        <v>0.26005004608954102</v>
      </c>
      <c r="C20" s="71">
        <f>Panama!E4</f>
        <v>7786414</v>
      </c>
      <c r="D20" s="70">
        <f t="shared" si="3"/>
        <v>2024857.3195722476</v>
      </c>
      <c r="E20" s="9"/>
      <c r="F20" s="52" t="s">
        <v>5</v>
      </c>
      <c r="G20" s="1">
        <f>Panama!F8</f>
        <v>0.18416659866885235</v>
      </c>
      <c r="H20" s="71">
        <f>Panama!E10</f>
        <v>7554905</v>
      </c>
      <c r="I20" s="70">
        <f t="shared" si="4"/>
        <v>1391361.157116306</v>
      </c>
      <c r="K20" s="52" t="s">
        <v>5</v>
      </c>
      <c r="L20" s="1">
        <f>Panama!F14</f>
        <v>0.12339385961560984</v>
      </c>
      <c r="M20" s="71">
        <f>Panama!E16</f>
        <v>6927890</v>
      </c>
      <c r="N20" s="70">
        <f t="shared" si="5"/>
        <v>854859.08609238721</v>
      </c>
    </row>
    <row r="21" spans="1:14">
      <c r="A21" s="52" t="str">
        <f>A9</f>
        <v>Mexico</v>
      </c>
      <c r="B21" s="1">
        <f>Mexico!F2</f>
        <v>0.2139018339615531</v>
      </c>
      <c r="C21" s="71">
        <f>Mexico!E4</f>
        <v>257884000</v>
      </c>
      <c r="D21" s="70">
        <f>Mexico!F4</f>
        <v>55161860.549341157</v>
      </c>
      <c r="E21" s="9"/>
      <c r="F21" s="52" t="str">
        <f>F9</f>
        <v>Mexico</v>
      </c>
      <c r="G21" s="1">
        <f>Mexico!F9</f>
        <v>0.21029428065460049</v>
      </c>
      <c r="H21" s="71">
        <f>Mexico!E11</f>
        <v>241522020</v>
      </c>
      <c r="I21" s="70">
        <f>Mexico!F11</f>
        <v>50790699.458146028</v>
      </c>
      <c r="K21" s="52" t="str">
        <f>K9</f>
        <v>Mexico</v>
      </c>
      <c r="L21" s="1">
        <f>Mexico!F16</f>
        <v>0.22160852300881206</v>
      </c>
      <c r="M21" s="71">
        <f>Mexico!E18</f>
        <v>233472000</v>
      </c>
      <c r="N21" s="70">
        <f>Mexico!F18</f>
        <v>51739385.083913371</v>
      </c>
    </row>
    <row r="22" spans="1:14">
      <c r="A22" s="52" t="str">
        <f>A10</f>
        <v>Belize</v>
      </c>
      <c r="B22" s="1">
        <f>Belize!F2</f>
        <v>8.6231192809778562E-2</v>
      </c>
      <c r="C22" s="71">
        <f>Belize!E4</f>
        <v>492841.55</v>
      </c>
      <c r="D22" s="70">
        <f>Belize!F4</f>
        <v>42498.314722720119</v>
      </c>
      <c r="E22" s="9"/>
      <c r="F22" s="52" t="str">
        <f>F10</f>
        <v>Belize</v>
      </c>
      <c r="G22" s="1">
        <f>Belize!F8</f>
        <v>8.9150684669911065E-2</v>
      </c>
      <c r="H22" s="71">
        <f>Belize!E10</f>
        <v>483270.17</v>
      </c>
      <c r="I22" s="70">
        <f>Belize!F10</f>
        <v>43083.866536044312</v>
      </c>
      <c r="K22" s="52" t="str">
        <f>K10</f>
        <v>Belize</v>
      </c>
      <c r="L22" s="1">
        <f>Belize!F14</f>
        <v>0.20744928702141641</v>
      </c>
      <c r="M22" s="71">
        <f>Belize!E16</f>
        <v>472813.27</v>
      </c>
      <c r="N22" s="70">
        <f>Belize!F16</f>
        <v>98084.775755764451</v>
      </c>
    </row>
    <row r="23" spans="1:14" ht="15.75" thickBot="1">
      <c r="A23" s="325" t="s">
        <v>21</v>
      </c>
      <c r="B23" s="326">
        <f>D23/C23</f>
        <v>0.21381990795780526</v>
      </c>
      <c r="C23" s="327">
        <f>SUM(C15:C22)</f>
        <v>301800860.90273362</v>
      </c>
      <c r="D23" s="327">
        <f>SUM(D15:D22)</f>
        <v>64531032.29980889</v>
      </c>
      <c r="E23" s="9"/>
      <c r="F23" s="328" t="s">
        <v>21</v>
      </c>
      <c r="G23" s="329">
        <f>I23/H23</f>
        <v>0.20679892909879419</v>
      </c>
      <c r="H23" s="330">
        <f>SUM(H15:H22)</f>
        <v>283949092.83597082</v>
      </c>
      <c r="I23" s="330">
        <f>SUM(I15:I22)</f>
        <v>58720368.317052856</v>
      </c>
      <c r="K23" s="328" t="s">
        <v>21</v>
      </c>
      <c r="L23" s="331">
        <f>N23/M23</f>
        <v>0.21952697851514008</v>
      </c>
      <c r="M23" s="332">
        <f>SUM(M15:M22)</f>
        <v>273786642.3724888</v>
      </c>
      <c r="N23" s="332">
        <f>SUM(N15:N22)</f>
        <v>60103554.357837692</v>
      </c>
    </row>
    <row r="24" spans="1:14" ht="15.75" thickTop="1"/>
    <row r="25" spans="1:14">
      <c r="A25" s="61" t="s">
        <v>47</v>
      </c>
      <c r="B25" s="61"/>
      <c r="C25" s="61"/>
      <c r="E25" s="9"/>
      <c r="F25" s="9"/>
      <c r="G25" s="9"/>
      <c r="H25" s="10"/>
      <c r="I25" s="10"/>
      <c r="J25" s="47"/>
      <c r="K25" s="47"/>
    </row>
    <row r="26" spans="1:14" ht="31.5">
      <c r="A26" s="53">
        <v>2011</v>
      </c>
      <c r="B26" s="54" t="s">
        <v>14</v>
      </c>
      <c r="C26" s="54" t="str">
        <f>C14</f>
        <v>Generation MWh</v>
      </c>
      <c r="D26" s="54" t="s">
        <v>20</v>
      </c>
      <c r="E26" s="51"/>
      <c r="F26" s="53">
        <v>2010</v>
      </c>
      <c r="G26" s="54" t="s">
        <v>14</v>
      </c>
      <c r="H26" s="54" t="str">
        <f>C26</f>
        <v>Generation MWh</v>
      </c>
      <c r="I26" s="54" t="s">
        <v>20</v>
      </c>
      <c r="K26" s="53">
        <v>2009</v>
      </c>
      <c r="L26" s="54" t="s">
        <v>14</v>
      </c>
      <c r="M26" s="54" t="str">
        <f>H26</f>
        <v>Generation MWh</v>
      </c>
      <c r="N26" s="54" t="s">
        <v>20</v>
      </c>
    </row>
    <row r="27" spans="1:14">
      <c r="A27" s="50" t="s">
        <v>0</v>
      </c>
      <c r="B27" s="1">
        <f>'Costa Rica'!H2</f>
        <v>7.5900596137253751E-2</v>
      </c>
      <c r="C27" s="70">
        <f>'Costa Rica'!G2</f>
        <v>9709462.402733637</v>
      </c>
      <c r="D27" s="70">
        <f>C27*B27</f>
        <v>736953.98453973525</v>
      </c>
      <c r="E27" s="10"/>
      <c r="F27" s="50" t="s">
        <v>0</v>
      </c>
      <c r="G27" s="1">
        <f>'Costa Rica'!H9</f>
        <v>6.6874902297677757E-2</v>
      </c>
      <c r="H27" s="70">
        <f>'Costa Rica'!G9</f>
        <v>9513973.9859707747</v>
      </c>
      <c r="I27" s="70">
        <f>H27*G27</f>
        <v>636246.08077444334</v>
      </c>
      <c r="K27" s="50" t="s">
        <v>0</v>
      </c>
      <c r="L27" s="1">
        <f>'Costa Rica'!H16</f>
        <v>4.0777834723275376E-2</v>
      </c>
      <c r="M27" s="70">
        <f>'Costa Rica'!G16</f>
        <v>9183206.4724888057</v>
      </c>
      <c r="N27" s="70">
        <f>M27*L27</f>
        <v>374471.2757648612</v>
      </c>
    </row>
    <row r="28" spans="1:14">
      <c r="A28" s="52" t="s">
        <v>17</v>
      </c>
      <c r="B28" s="1">
        <f>'El Salvador'!H2</f>
        <v>9.1727015758813729E-2</v>
      </c>
      <c r="C28" s="71">
        <f>'El Salvador'!G2</f>
        <v>5843350</v>
      </c>
      <c r="D28" s="70">
        <f t="shared" ref="D28:D32" si="6">C28*B28</f>
        <v>535993.05753426417</v>
      </c>
      <c r="E28" s="10"/>
      <c r="F28" s="52" t="s">
        <v>17</v>
      </c>
      <c r="G28" s="1">
        <f>'El Salvador'!H9</f>
        <v>9.0256409205219351E-2</v>
      </c>
      <c r="H28" s="71">
        <f>'El Salvador'!G9</f>
        <v>5735358</v>
      </c>
      <c r="I28" s="70">
        <f t="shared" ref="I28:I32" si="7">H28*G28</f>
        <v>517652.81858642848</v>
      </c>
      <c r="K28" s="52" t="s">
        <v>17</v>
      </c>
      <c r="L28" s="258">
        <f>'El Salvador'!H16</f>
        <v>0.12781357998412887</v>
      </c>
      <c r="M28" s="71">
        <f>'El Salvador'!G16</f>
        <v>5574922</v>
      </c>
      <c r="N28" s="70">
        <f t="shared" ref="N28:N32" si="8">M28*L28</f>
        <v>712550.73895227967</v>
      </c>
    </row>
    <row r="29" spans="1:14">
      <c r="A29" s="52" t="s">
        <v>18</v>
      </c>
      <c r="B29" s="1">
        <f>Guatemala!H2</f>
        <v>0.21635408027880634</v>
      </c>
      <c r="C29" s="71">
        <f>Guatemala!G2</f>
        <v>7993786</v>
      </c>
      <c r="D29" s="70">
        <f t="shared" si="6"/>
        <v>1729488.2179755983</v>
      </c>
      <c r="E29" s="10"/>
      <c r="F29" s="52" t="s">
        <v>18</v>
      </c>
      <c r="G29" s="258">
        <f>Guatemala!H9</f>
        <v>0.20685350089926827</v>
      </c>
      <c r="H29" s="71">
        <f>Guatemala!G9</f>
        <v>8134144</v>
      </c>
      <c r="I29" s="70">
        <f t="shared" si="7"/>
        <v>1682576.1632187776</v>
      </c>
      <c r="K29" s="52" t="s">
        <v>18</v>
      </c>
      <c r="L29" s="1">
        <f>Guatemala!H16</f>
        <v>0.31522242158208574</v>
      </c>
      <c r="M29" s="71">
        <f>Guatemala!G16</f>
        <v>7697020.46</v>
      </c>
      <c r="N29" s="70">
        <f t="shared" si="8"/>
        <v>2426273.4283680595</v>
      </c>
    </row>
    <row r="30" spans="1:14">
      <c r="A30" s="52" t="s">
        <v>19</v>
      </c>
      <c r="B30" s="1">
        <f>Honduras!H2</f>
        <v>0.3406164943134814</v>
      </c>
      <c r="C30" s="71">
        <f>Honduras!G2</f>
        <v>7213810</v>
      </c>
      <c r="D30" s="70">
        <f t="shared" si="6"/>
        <v>2457142.6728435354</v>
      </c>
      <c r="E30" s="10"/>
      <c r="F30" s="52" t="s">
        <v>19</v>
      </c>
      <c r="G30" s="1">
        <f>Honduras!H9</f>
        <v>0.31064054685278902</v>
      </c>
      <c r="H30" s="71">
        <f>Honduras!G9</f>
        <v>6773985</v>
      </c>
      <c r="I30" s="70">
        <f t="shared" si="7"/>
        <v>2104274.4047725899</v>
      </c>
      <c r="K30" s="52" t="s">
        <v>19</v>
      </c>
      <c r="L30" s="1">
        <f>Honduras!H16</f>
        <v>0.32643813231652341</v>
      </c>
      <c r="M30" s="71">
        <f>Honduras!G16</f>
        <v>6567379</v>
      </c>
      <c r="N30" s="254">
        <f t="shared" si="8"/>
        <v>2143842.934974757</v>
      </c>
    </row>
    <row r="31" spans="1:14">
      <c r="A31" s="52" t="s">
        <v>4</v>
      </c>
      <c r="B31" s="1">
        <f>Nicaragua!H2</f>
        <v>0.45053508274817977</v>
      </c>
      <c r="C31" s="71">
        <f>Nicaragua!G2</f>
        <v>3746023.95</v>
      </c>
      <c r="D31" s="70">
        <f t="shared" si="6"/>
        <v>1687715.2102899132</v>
      </c>
      <c r="E31" s="10"/>
      <c r="F31" s="52" t="s">
        <v>4</v>
      </c>
      <c r="G31" s="1">
        <f>Nicaragua!H9</f>
        <v>0.39137071121177924</v>
      </c>
      <c r="H31" s="71">
        <f>Nicaragua!G9</f>
        <v>3580621.68</v>
      </c>
      <c r="I31" s="70">
        <f t="shared" si="7"/>
        <v>1401350.4534819159</v>
      </c>
      <c r="K31" s="52" t="s">
        <v>4</v>
      </c>
      <c r="L31" s="1">
        <f>Nicaragua!H16</f>
        <v>0.47692015164483759</v>
      </c>
      <c r="M31" s="71">
        <f>Nicaragua!G16</f>
        <v>3409407.17</v>
      </c>
      <c r="N31" s="70">
        <f t="shared" si="8"/>
        <v>1626014.9845353966</v>
      </c>
    </row>
    <row r="32" spans="1:14">
      <c r="A32" s="52" t="s">
        <v>5</v>
      </c>
      <c r="B32" s="1">
        <f>Panama!H2</f>
        <v>0.26004836223808381</v>
      </c>
      <c r="C32" s="71">
        <f>Panama!G2</f>
        <v>7778849</v>
      </c>
      <c r="D32" s="70">
        <f t="shared" si="6"/>
        <v>2022876.942547356</v>
      </c>
      <c r="E32" s="9"/>
      <c r="F32" s="52" t="s">
        <v>5</v>
      </c>
      <c r="G32" s="1">
        <f>Panama!H8</f>
        <v>0.18416082911309542</v>
      </c>
      <c r="H32" s="71">
        <f>Panama!G8</f>
        <v>7516726</v>
      </c>
      <c r="I32" s="70">
        <f t="shared" si="7"/>
        <v>1384286.4923759613</v>
      </c>
      <c r="K32" s="52" t="s">
        <v>5</v>
      </c>
      <c r="L32" s="1">
        <f>Panama!H14</f>
        <v>0.1233830848412724</v>
      </c>
      <c r="M32" s="71">
        <f>Panama!G14</f>
        <v>6834280</v>
      </c>
      <c r="N32" s="70">
        <f t="shared" si="8"/>
        <v>843234.54906901112</v>
      </c>
    </row>
    <row r="33" spans="1:14">
      <c r="A33" s="52" t="str">
        <f>A21</f>
        <v>Mexico</v>
      </c>
      <c r="B33" s="1">
        <f>Mexico!H2</f>
        <v>0.2139018339615531</v>
      </c>
      <c r="C33" s="71">
        <f>Mexico!G2</f>
        <v>257217238.06999999</v>
      </c>
      <c r="D33" s="70">
        <f>Mexico!G4</f>
        <v>55019238.949698411</v>
      </c>
      <c r="E33" s="9"/>
      <c r="F33" s="52" t="str">
        <f>F21</f>
        <v>Mexico</v>
      </c>
      <c r="G33" s="1">
        <f>Mexico!H9</f>
        <v>0.21029428014653026</v>
      </c>
      <c r="H33" s="71">
        <f>Mexico!G9</f>
        <v>241008494</v>
      </c>
      <c r="I33" s="70">
        <f>Mexico!G11</f>
        <v>50682707.754929356</v>
      </c>
      <c r="K33" s="52" t="str">
        <f>K21</f>
        <v>Mexico</v>
      </c>
      <c r="L33" s="1">
        <f>Mexico!H16</f>
        <v>0.22160852300881206</v>
      </c>
      <c r="M33" s="71">
        <f>Mexico!G16</f>
        <v>233236867</v>
      </c>
      <c r="N33" s="70">
        <f>Mexico!G18</f>
        <v>51687277.607072741</v>
      </c>
    </row>
    <row r="34" spans="1:14">
      <c r="A34" s="52" t="str">
        <f>A22</f>
        <v>Belize</v>
      </c>
      <c r="B34" s="1">
        <f>Belize!H2</f>
        <v>8.6231192809778562E-2</v>
      </c>
      <c r="C34" s="71">
        <f>Belize!G2</f>
        <v>492841.55</v>
      </c>
      <c r="D34" s="70">
        <f>Belize!G4</f>
        <v>42498.314722720119</v>
      </c>
      <c r="E34" s="9"/>
      <c r="F34" s="52" t="str">
        <f>F22</f>
        <v>Belize</v>
      </c>
      <c r="G34" s="1">
        <f>Belize!H8</f>
        <v>8.9150684669911065E-2</v>
      </c>
      <c r="H34" s="71">
        <f>Belize!G8</f>
        <v>483270.17</v>
      </c>
      <c r="I34" s="70">
        <f>Belize!G10</f>
        <v>43083.866536044312</v>
      </c>
      <c r="K34" s="52" t="str">
        <f>K22</f>
        <v>Belize</v>
      </c>
      <c r="L34" s="1">
        <f>Belize!H14</f>
        <v>0.20744928702141641</v>
      </c>
      <c r="M34" s="71">
        <f>Belize!G14</f>
        <v>472813.27</v>
      </c>
      <c r="N34" s="70">
        <f>Belize!G16</f>
        <v>98084.775755764451</v>
      </c>
    </row>
    <row r="35" spans="1:14" ht="15.75" thickBot="1">
      <c r="A35" s="325" t="s">
        <v>21</v>
      </c>
      <c r="B35" s="326">
        <f>D35/C35</f>
        <v>0.21410966870247541</v>
      </c>
      <c r="C35" s="327">
        <f>SUM(C27:C34)</f>
        <v>299995360.97273368</v>
      </c>
      <c r="D35" s="327">
        <f>SUM(D27:D34)</f>
        <v>64231907.350151531</v>
      </c>
      <c r="E35" s="9"/>
      <c r="F35" s="328" t="s">
        <v>21</v>
      </c>
      <c r="G35" s="329">
        <f>I35/H35</f>
        <v>0.20672992584276259</v>
      </c>
      <c r="H35" s="330">
        <f>SUM(H27:H34)</f>
        <v>282746572.83597082</v>
      </c>
      <c r="I35" s="330">
        <f>SUM(I27:I34)</f>
        <v>58452178.034675516</v>
      </c>
      <c r="K35" s="328" t="s">
        <v>21</v>
      </c>
      <c r="L35" s="331">
        <f>N35/M35</f>
        <v>0.2194763395234601</v>
      </c>
      <c r="M35" s="332">
        <f>SUM(M27:M34)</f>
        <v>272975895.3724888</v>
      </c>
      <c r="N35" s="332">
        <f>SUM(N27:N34)</f>
        <v>59911750.294492871</v>
      </c>
    </row>
    <row r="36" spans="1:14" ht="15.75" thickTop="1"/>
    <row r="37" spans="1:14">
      <c r="A37" s="8" t="s">
        <v>22</v>
      </c>
      <c r="B37" s="54"/>
      <c r="C37" s="54" t="s">
        <v>29</v>
      </c>
      <c r="D37" s="263" t="s">
        <v>48</v>
      </c>
      <c r="F37" s="4" t="s">
        <v>26</v>
      </c>
      <c r="G37" s="153"/>
      <c r="H37" s="153"/>
      <c r="I37" s="257"/>
      <c r="J37" s="10"/>
      <c r="K37" s="10"/>
      <c r="L37" s="153"/>
      <c r="M37" s="153"/>
      <c r="N37" s="257"/>
    </row>
    <row r="38" spans="1:14">
      <c r="A38" s="1" t="s">
        <v>49</v>
      </c>
      <c r="B38" s="7"/>
      <c r="C38" s="259">
        <f>(B11+G11+L11)/3</f>
        <v>0.21332080385408195</v>
      </c>
      <c r="D38" s="260">
        <f>(D11+I11+N11)/3</f>
        <v>60865278.559773304</v>
      </c>
      <c r="F38" s="1" t="s">
        <v>6</v>
      </c>
      <c r="G38" s="10"/>
      <c r="H38" s="10"/>
      <c r="I38" s="10"/>
      <c r="J38" s="10"/>
      <c r="K38" s="9"/>
      <c r="L38" s="6"/>
      <c r="M38" s="6"/>
      <c r="N38" s="10"/>
    </row>
    <row r="39" spans="1:14">
      <c r="A39" s="1" t="s">
        <v>50</v>
      </c>
      <c r="B39" s="7"/>
      <c r="C39" s="261">
        <f>(B23+G23+L23)/3</f>
        <v>0.21338193852391316</v>
      </c>
      <c r="D39" s="262">
        <f>(D23+I23+N23)/3</f>
        <v>61118318.324899815</v>
      </c>
      <c r="F39" s="1" t="s">
        <v>7</v>
      </c>
      <c r="G39" s="10"/>
      <c r="H39" s="6"/>
      <c r="K39" s="9"/>
      <c r="L39" s="6"/>
      <c r="M39" s="6"/>
      <c r="N39" s="256"/>
    </row>
    <row r="40" spans="1:14">
      <c r="A40" s="1" t="s">
        <v>51</v>
      </c>
      <c r="B40" s="7"/>
      <c r="C40" s="259">
        <f>(B35+G35+L35)/3</f>
        <v>0.21343864468956605</v>
      </c>
      <c r="D40" s="260">
        <f>(D35+I35+N35)/3</f>
        <v>60865278.559773304</v>
      </c>
      <c r="F40" s="1" t="s">
        <v>8</v>
      </c>
      <c r="G40" s="10"/>
      <c r="H40" s="345"/>
      <c r="I40" s="255"/>
      <c r="K40" s="9"/>
      <c r="L40" s="6"/>
      <c r="M40" s="6"/>
      <c r="N40" s="256"/>
    </row>
    <row r="41" spans="1:14">
      <c r="A41" s="10"/>
      <c r="B41" s="6"/>
      <c r="C41" s="264"/>
      <c r="D41" s="265"/>
      <c r="F41" s="1" t="s">
        <v>9</v>
      </c>
      <c r="G41" s="10"/>
      <c r="H41" s="6"/>
      <c r="I41" s="255"/>
      <c r="K41" s="9"/>
      <c r="L41" s="6"/>
      <c r="M41" s="6"/>
      <c r="N41" s="256"/>
    </row>
    <row r="42" spans="1:14">
      <c r="A42" s="10"/>
      <c r="B42" s="6"/>
      <c r="C42" s="264"/>
      <c r="D42" s="265"/>
      <c r="F42" s="1" t="s">
        <v>10</v>
      </c>
      <c r="G42" s="10"/>
      <c r="H42" s="6"/>
      <c r="I42" s="255"/>
      <c r="K42" s="9"/>
      <c r="L42" s="6"/>
      <c r="M42" s="6"/>
      <c r="N42" s="256"/>
    </row>
    <row r="43" spans="1:14" ht="15.75" thickBot="1">
      <c r="F43" s="1" t="s">
        <v>11</v>
      </c>
    </row>
    <row r="44" spans="1:14" ht="45" customHeight="1">
      <c r="A44" s="4"/>
      <c r="B44" s="4" t="s">
        <v>52</v>
      </c>
      <c r="C44" s="276" t="s">
        <v>60</v>
      </c>
      <c r="D44" s="277" t="s">
        <v>59</v>
      </c>
      <c r="H44" s="276" t="s">
        <v>61</v>
      </c>
      <c r="I44" s="277" t="str">
        <f>D44</f>
        <v xml:space="preserve">Difference from common GEF </v>
      </c>
      <c r="M44" s="276" t="s">
        <v>62</v>
      </c>
      <c r="N44" s="277" t="str">
        <f>I44</f>
        <v xml:space="preserve">Difference from common GEF </v>
      </c>
    </row>
    <row r="45" spans="1:14">
      <c r="A45" s="1" t="s">
        <v>0</v>
      </c>
      <c r="B45" s="70">
        <f>(D3+I3+N3)/3</f>
        <v>552350.09759591997</v>
      </c>
      <c r="C45" s="1">
        <f>'Costa Rica'!D22</f>
        <v>5.7972531856023947E-2</v>
      </c>
      <c r="D45" s="278">
        <f>C38-C45</f>
        <v>0.15534827199805801</v>
      </c>
      <c r="F45" s="1" t="s">
        <v>0</v>
      </c>
      <c r="G45" s="70">
        <f>(D15+I15+N15)/3</f>
        <v>589163.80322977167</v>
      </c>
      <c r="H45" s="258">
        <f>'Costa Rica'!D23</f>
        <v>6.1146160313614938E-2</v>
      </c>
      <c r="I45" s="1">
        <f>C38-H45</f>
        <v>0.152174643540467</v>
      </c>
      <c r="K45" s="1" t="s">
        <v>0</v>
      </c>
      <c r="L45" s="70">
        <f>(D27+I27+N27)/3</f>
        <v>582557.11369301321</v>
      </c>
      <c r="M45" s="1">
        <f>'Costa Rica'!D24</f>
        <v>6.1184444386068959E-2</v>
      </c>
      <c r="N45" s="258">
        <f>C38-M45</f>
        <v>0.15213635946801299</v>
      </c>
    </row>
    <row r="46" spans="1:14">
      <c r="A46" s="1" t="s">
        <v>1</v>
      </c>
      <c r="B46" s="70">
        <f>(D4+I4+N4)/3</f>
        <v>544684.29610709997</v>
      </c>
      <c r="C46" s="1">
        <f>'El Salvador'!D22</f>
        <v>9.747766626202263E-2</v>
      </c>
      <c r="D46" s="278">
        <f>C38-C46</f>
        <v>0.11584313759205932</v>
      </c>
      <c r="F46" s="1" t="s">
        <v>1</v>
      </c>
      <c r="G46" s="70">
        <f t="shared" ref="G46:G52" si="9">(D16+I16+N16)/3</f>
        <v>596335.2684440281</v>
      </c>
      <c r="H46" s="258">
        <f>'El Salvador'!D23</f>
        <v>0.10318539218095518</v>
      </c>
      <c r="I46" s="1">
        <f>C38-H46</f>
        <v>0.11013541167312677</v>
      </c>
      <c r="K46" s="1" t="s">
        <v>1</v>
      </c>
      <c r="L46" s="70">
        <f t="shared" ref="L46:L52" si="10">(D28+I28+N28)/3</f>
        <v>588732.20502432401</v>
      </c>
      <c r="M46" s="1">
        <f>'El Salvador'!D24</f>
        <v>0.10326566831605399</v>
      </c>
      <c r="N46" s="258">
        <f>C38-M46</f>
        <v>0.11005513553802795</v>
      </c>
    </row>
    <row r="47" spans="1:14">
      <c r="A47" s="1" t="s">
        <v>2</v>
      </c>
      <c r="B47" s="70">
        <f t="shared" ref="B47:B52" si="11">(D5+I5+N5)/3</f>
        <v>1912187.2989631065</v>
      </c>
      <c r="C47" s="1">
        <f>Guatemala!D22</f>
        <v>0.24185818035206422</v>
      </c>
      <c r="D47" s="278">
        <f>C38-C47</f>
        <v>-2.853737649798227E-2</v>
      </c>
      <c r="F47" s="1" t="s">
        <v>2</v>
      </c>
      <c r="G47" s="70">
        <f t="shared" si="9"/>
        <v>1974305.3348670762</v>
      </c>
      <c r="H47" s="258">
        <f>Guatemala!D23</f>
        <v>0.24192623483439565</v>
      </c>
      <c r="I47" s="1">
        <f>C38-H47</f>
        <v>-2.8605430980313706E-2</v>
      </c>
      <c r="K47" s="1" t="s">
        <v>2</v>
      </c>
      <c r="L47" s="70">
        <f t="shared" si="10"/>
        <v>1946112.6031874784</v>
      </c>
      <c r="M47" s="1">
        <f>Guatemala!D24</f>
        <v>0.24614333425338678</v>
      </c>
      <c r="N47" s="258">
        <f>C38-M47</f>
        <v>-3.2822530399304828E-2</v>
      </c>
    </row>
    <row r="48" spans="1:14">
      <c r="A48" s="1" t="s">
        <v>3</v>
      </c>
      <c r="B48" s="70">
        <f t="shared" si="11"/>
        <v>2245262.6246989327</v>
      </c>
      <c r="C48" s="1">
        <f>Honduras!D22</f>
        <v>0.32748389766880437</v>
      </c>
      <c r="D48" s="278">
        <f>C38-C48</f>
        <v>-0.11416309381472242</v>
      </c>
      <c r="F48" s="1" t="s">
        <v>3</v>
      </c>
      <c r="G48" s="70">
        <f t="shared" si="9"/>
        <v>2280156.5611316902</v>
      </c>
      <c r="H48" s="258">
        <f>Honduras!D23</f>
        <v>0.32592929533586723</v>
      </c>
      <c r="I48" s="1">
        <f>C38-H48</f>
        <v>-0.11260849148178528</v>
      </c>
      <c r="K48" s="1" t="s">
        <v>3</v>
      </c>
      <c r="L48" s="70">
        <f t="shared" si="10"/>
        <v>2235086.6708636275</v>
      </c>
      <c r="M48" s="1">
        <f>Honduras!D24</f>
        <v>0.32589839116093128</v>
      </c>
      <c r="N48" s="258">
        <f>C38-M48</f>
        <v>-0.11257758730684933</v>
      </c>
    </row>
    <row r="49" spans="1:14">
      <c r="A49" s="1" t="s">
        <v>4</v>
      </c>
      <c r="B49" s="70">
        <f t="shared" si="11"/>
        <v>1606356.1762183795</v>
      </c>
      <c r="C49" s="1">
        <f>Nicaragua!D22</f>
        <v>0.44674342007198914</v>
      </c>
      <c r="D49" s="278">
        <f>C38-C49</f>
        <v>-0.23342261621790719</v>
      </c>
      <c r="F49" s="1" t="s">
        <v>4</v>
      </c>
      <c r="G49" s="70">
        <f t="shared" si="9"/>
        <v>1629460.8201619063</v>
      </c>
      <c r="H49" s="258">
        <f>Nicaragua!D23</f>
        <v>0.43985092169769224</v>
      </c>
      <c r="I49" s="1">
        <f>C38-H49</f>
        <v>-0.2265301178436103</v>
      </c>
      <c r="K49" s="1" t="s">
        <v>4</v>
      </c>
      <c r="L49" s="70">
        <f t="shared" si="10"/>
        <v>1571693.549435742</v>
      </c>
      <c r="M49" s="1">
        <f>Nicaragua!D24</f>
        <v>0.4396086485349322</v>
      </c>
      <c r="N49" s="258">
        <f>C38-M49</f>
        <v>-0.22628784468085025</v>
      </c>
    </row>
    <row r="50" spans="1:14">
      <c r="A50" s="1" t="s">
        <v>5</v>
      </c>
      <c r="B50" s="70">
        <f t="shared" si="11"/>
        <v>1419682.6016423462</v>
      </c>
      <c r="C50" s="1">
        <f>Panama!D19</f>
        <v>0.19042150566959429</v>
      </c>
      <c r="D50" s="278">
        <f>C38-C50</f>
        <v>2.289929818448766E-2</v>
      </c>
      <c r="F50" s="1" t="s">
        <v>5</v>
      </c>
      <c r="G50" s="70">
        <f t="shared" si="9"/>
        <v>1423692.5209269803</v>
      </c>
      <c r="H50" s="258">
        <f>Panama!D20</f>
        <v>0.18920350145800105</v>
      </c>
      <c r="I50" s="1">
        <f>C38-H50</f>
        <v>2.4117302396080897E-2</v>
      </c>
      <c r="K50" s="1" t="s">
        <v>5</v>
      </c>
      <c r="L50" s="70">
        <f t="shared" si="10"/>
        <v>1416799.327997443</v>
      </c>
      <c r="M50" s="1">
        <f>Panama!D21</f>
        <v>0.18919742539748388</v>
      </c>
      <c r="N50" s="258">
        <f>C38-M50</f>
        <v>2.4123378456598066E-2</v>
      </c>
    </row>
    <row r="51" spans="1:14">
      <c r="A51" s="1" t="s">
        <v>55</v>
      </c>
      <c r="B51" s="70">
        <f t="shared" si="11"/>
        <v>52562877.921214186</v>
      </c>
      <c r="C51" s="1">
        <f>Mexico!D22</f>
        <v>0.21526829202431555</v>
      </c>
      <c r="D51" s="278">
        <f>C38-C51</f>
        <v>-1.9474881702336022E-3</v>
      </c>
      <c r="F51" s="1" t="s">
        <v>55</v>
      </c>
      <c r="G51" s="70">
        <f t="shared" si="9"/>
        <v>52563981.697133519</v>
      </c>
      <c r="H51" s="258">
        <f>Mexico!D23</f>
        <v>0.21526821254165521</v>
      </c>
      <c r="I51" s="335">
        <f>C38-H51</f>
        <v>-1.9474086875732599E-3</v>
      </c>
      <c r="K51" s="1" t="s">
        <v>55</v>
      </c>
      <c r="L51" s="70">
        <f t="shared" si="10"/>
        <v>52463074.770566843</v>
      </c>
      <c r="M51" s="1">
        <f>Mexico!D24</f>
        <v>0.21526821237229851</v>
      </c>
      <c r="N51" s="258">
        <f>C38-M51</f>
        <v>-1.9474085182165646E-3</v>
      </c>
    </row>
    <row r="52" spans="1:14">
      <c r="A52" s="1" t="s">
        <v>57</v>
      </c>
      <c r="B52" s="70">
        <f t="shared" si="11"/>
        <v>21877.543333333335</v>
      </c>
      <c r="C52" s="1">
        <f>Belize!D19</f>
        <v>8.1136852400459758E-2</v>
      </c>
      <c r="D52" s="278">
        <f>C38-C52</f>
        <v>0.13218395145362219</v>
      </c>
      <c r="F52" s="1" t="s">
        <v>57</v>
      </c>
      <c r="G52" s="70">
        <f t="shared" si="9"/>
        <v>61222.319004842961</v>
      </c>
      <c r="H52" s="258">
        <f>Belize!D20</f>
        <v>0.12761038816703532</v>
      </c>
      <c r="I52" s="335">
        <f>C38-H52</f>
        <v>8.5710415687046626E-2</v>
      </c>
      <c r="K52" s="1" t="s">
        <v>57</v>
      </c>
      <c r="L52" s="70">
        <f t="shared" si="10"/>
        <v>61222.319004842961</v>
      </c>
      <c r="M52" s="1">
        <f>Belize!D21</f>
        <v>0.12761038816703532</v>
      </c>
      <c r="N52" s="258">
        <f>C38-M52</f>
        <v>8.5710415687046626E-2</v>
      </c>
    </row>
    <row r="53" spans="1:14" ht="15.75" thickBot="1">
      <c r="A53" s="333" t="s">
        <v>21</v>
      </c>
      <c r="B53" s="334">
        <f>SUM(B45:B50)</f>
        <v>8280523.0952257849</v>
      </c>
      <c r="C53" s="10"/>
      <c r="D53" s="301"/>
      <c r="F53" s="333" t="s">
        <v>21</v>
      </c>
      <c r="G53" s="334">
        <f>SUM(G45:G50)</f>
        <v>8493114.3087614514</v>
      </c>
      <c r="H53" s="302"/>
      <c r="I53" s="10"/>
      <c r="K53" s="333" t="s">
        <v>54</v>
      </c>
      <c r="L53" s="334">
        <f>SUM(L45:L50)</f>
        <v>8340981.4702016283</v>
      </c>
      <c r="M53" s="10"/>
      <c r="N53" s="302"/>
    </row>
    <row r="55" spans="1:14">
      <c r="A55" s="61" t="s">
        <v>53</v>
      </c>
    </row>
    <row r="56" spans="1:14">
      <c r="A56" s="1" t="s">
        <v>49</v>
      </c>
      <c r="B56" s="1"/>
      <c r="C56" s="70">
        <f>(D11+I11+N11)/3</f>
        <v>60865278.559773304</v>
      </c>
      <c r="F56" s="279"/>
    </row>
    <row r="57" spans="1:14">
      <c r="A57" s="1" t="s">
        <v>50</v>
      </c>
      <c r="B57" s="1"/>
      <c r="C57" s="70">
        <f>(D23+I23+N23)/3</f>
        <v>61118318.324899815</v>
      </c>
      <c r="F57" s="279"/>
    </row>
    <row r="58" spans="1:14">
      <c r="A58" s="1" t="s">
        <v>51</v>
      </c>
      <c r="B58" s="1"/>
      <c r="C58" s="70">
        <f>(D35+I35+N35)/3</f>
        <v>60865278.559773304</v>
      </c>
    </row>
    <row r="59" spans="1:14">
      <c r="A59" s="1"/>
      <c r="B59" s="1"/>
      <c r="C59" s="1"/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L4" sqref="L4"/>
    </sheetView>
  </sheetViews>
  <sheetFormatPr defaultRowHeight="15"/>
  <cols>
    <col min="1" max="1" width="18.140625" customWidth="1"/>
    <col min="2" max="2" width="15.28515625" customWidth="1"/>
    <col min="3" max="3" width="13.140625" customWidth="1"/>
    <col min="4" max="4" width="13.85546875" customWidth="1"/>
    <col min="5" max="5" width="16" customWidth="1"/>
    <col min="6" max="6" width="14.5703125" customWidth="1"/>
    <col min="7" max="8" width="16.28515625" customWidth="1"/>
    <col min="11" max="11" width="13.5703125" customWidth="1"/>
    <col min="12" max="12" width="17" customWidth="1"/>
  </cols>
  <sheetData>
    <row r="1" spans="1:12" ht="32.25" customHeight="1">
      <c r="A1" s="184">
        <v>2011</v>
      </c>
      <c r="B1" s="177" t="s">
        <v>36</v>
      </c>
      <c r="C1" s="180" t="s">
        <v>14</v>
      </c>
      <c r="D1" s="177" t="s">
        <v>20</v>
      </c>
      <c r="E1" s="177" t="s">
        <v>31</v>
      </c>
      <c r="F1" s="181" t="s">
        <v>16</v>
      </c>
      <c r="G1" s="178" t="s">
        <v>41</v>
      </c>
      <c r="H1" s="179" t="s">
        <v>33</v>
      </c>
      <c r="K1" s="48"/>
      <c r="L1" s="2" t="s">
        <v>64</v>
      </c>
    </row>
    <row r="2" spans="1:12" ht="15.75" thickBot="1">
      <c r="A2" s="216" t="s">
        <v>34</v>
      </c>
      <c r="B2" s="217" t="s">
        <v>55</v>
      </c>
      <c r="C2" s="212">
        <v>0.2139018339615531</v>
      </c>
      <c r="D2" s="229">
        <f>E2*C2</f>
        <v>55161860.549341157</v>
      </c>
      <c r="E2" s="305">
        <v>257884000</v>
      </c>
      <c r="F2" s="303">
        <f>F4/E4</f>
        <v>0.2139018339615531</v>
      </c>
      <c r="G2" s="109">
        <f>E2-B6+B5</f>
        <v>257217238.06999999</v>
      </c>
      <c r="H2" s="168">
        <f>G4/G2</f>
        <v>0.2139018339615531</v>
      </c>
      <c r="K2" s="37" t="s">
        <v>65</v>
      </c>
      <c r="L2" s="202">
        <f>(D2+D9+D16)/3</f>
        <v>52562877.921214186</v>
      </c>
    </row>
    <row r="3" spans="1:12" ht="32.25" customHeight="1">
      <c r="A3" s="209" t="s">
        <v>56</v>
      </c>
      <c r="B3" s="237">
        <v>0</v>
      </c>
      <c r="C3" s="242">
        <f>Guatemala!C2</f>
        <v>0.20307891464560171</v>
      </c>
      <c r="D3" s="240">
        <f>C3*B3</f>
        <v>0</v>
      </c>
      <c r="E3" s="183" t="s">
        <v>32</v>
      </c>
      <c r="F3" s="183" t="s">
        <v>40</v>
      </c>
      <c r="G3" s="304" t="s">
        <v>30</v>
      </c>
      <c r="H3" s="154"/>
      <c r="K3" s="2" t="s">
        <v>66</v>
      </c>
      <c r="L3" s="202">
        <f>(F4+F11+F18)/3</f>
        <v>52563981.697133519</v>
      </c>
    </row>
    <row r="4" spans="1:12">
      <c r="A4" s="214" t="s">
        <v>57</v>
      </c>
      <c r="B4" s="219">
        <v>0</v>
      </c>
      <c r="C4" s="243"/>
      <c r="D4" s="241">
        <f>C4*B4</f>
        <v>0</v>
      </c>
      <c r="E4" s="310">
        <f>E2+B5</f>
        <v>257884000</v>
      </c>
      <c r="F4" s="247">
        <f>D2+D5</f>
        <v>55161860.549341157</v>
      </c>
      <c r="G4" s="107">
        <f>F4-D6</f>
        <v>55019238.949698411</v>
      </c>
      <c r="H4" s="154"/>
      <c r="K4" s="2" t="s">
        <v>67</v>
      </c>
      <c r="L4" s="202">
        <f>(G4+G11+G18)/3</f>
        <v>52463074.770566843</v>
      </c>
    </row>
    <row r="5" spans="1:12" ht="16.5" customHeight="1">
      <c r="A5" s="214" t="s">
        <v>15</v>
      </c>
      <c r="B5" s="219">
        <f>SUM(B3:B4)</f>
        <v>0</v>
      </c>
      <c r="C5" s="244" t="s">
        <v>58</v>
      </c>
      <c r="D5" s="241">
        <f>SUM(D3:D4)</f>
        <v>0</v>
      </c>
      <c r="E5" s="3"/>
      <c r="F5" s="30"/>
      <c r="G5" s="30"/>
      <c r="H5" s="31"/>
    </row>
    <row r="6" spans="1:12" ht="15.75" thickBot="1">
      <c r="A6" s="215" t="s">
        <v>28</v>
      </c>
      <c r="B6" s="220">
        <f>Belize!B4+Guatemala!B4</f>
        <v>666761.92999999993</v>
      </c>
      <c r="C6" s="69">
        <f>C2</f>
        <v>0.2139018339615531</v>
      </c>
      <c r="D6" s="72">
        <f>C6*B6</f>
        <v>142621.59964274467</v>
      </c>
      <c r="E6" s="33"/>
      <c r="F6" s="34"/>
      <c r="G6" s="34"/>
      <c r="H6" s="35"/>
    </row>
    <row r="7" spans="1:12" ht="15.75" thickBot="1">
      <c r="A7" s="3"/>
      <c r="B7" s="57"/>
      <c r="C7" s="57"/>
      <c r="D7" s="57"/>
      <c r="E7" s="3"/>
      <c r="F7" s="30"/>
      <c r="G7" s="30"/>
      <c r="H7" s="41"/>
    </row>
    <row r="8" spans="1:12" ht="31.5" customHeight="1">
      <c r="A8" s="184">
        <v>2010</v>
      </c>
      <c r="B8" s="238" t="s">
        <v>12</v>
      </c>
      <c r="C8" s="293" t="s">
        <v>14</v>
      </c>
      <c r="D8" s="238" t="str">
        <f>D1</f>
        <v xml:space="preserve">Tons CO2 </v>
      </c>
      <c r="E8" s="177" t="str">
        <f>E1</f>
        <v>Generation in country MWh</v>
      </c>
      <c r="F8" s="181" t="s">
        <v>16</v>
      </c>
      <c r="G8" s="178" t="s">
        <v>41</v>
      </c>
      <c r="H8" s="179" t="s">
        <v>33</v>
      </c>
    </row>
    <row r="9" spans="1:12" ht="15.75" customHeight="1" thickBot="1">
      <c r="A9" s="216" t="str">
        <f>A2</f>
        <v>Country</v>
      </c>
      <c r="B9" s="239" t="str">
        <f>B2</f>
        <v>Mexico</v>
      </c>
      <c r="C9" s="212">
        <v>0.21029451910258146</v>
      </c>
      <c r="D9" s="309">
        <f>E9*C9</f>
        <v>50787388.130388036</v>
      </c>
      <c r="E9" s="245">
        <v>241506000</v>
      </c>
      <c r="F9" s="217">
        <f>F11/E11</f>
        <v>0.21029428065460049</v>
      </c>
      <c r="G9" s="109">
        <f>E9-B13+B12</f>
        <v>241008494</v>
      </c>
      <c r="H9" s="168">
        <f>G11/G9</f>
        <v>0.21029428014653026</v>
      </c>
    </row>
    <row r="10" spans="1:12" ht="31.5" customHeight="1">
      <c r="A10" s="209" t="str">
        <f>A3</f>
        <v>Import   Guatemala</v>
      </c>
      <c r="B10" s="237">
        <v>16020</v>
      </c>
      <c r="C10" s="242">
        <f>Guatemala!C9</f>
        <v>0.20669961036147425</v>
      </c>
      <c r="D10" s="240">
        <f>C10*B10</f>
        <v>3311.3277579908172</v>
      </c>
      <c r="E10" s="196" t="str">
        <f>E3</f>
        <v>Generation + Imports</v>
      </c>
      <c r="F10" s="183" t="str">
        <f>F3</f>
        <v>Tons CO2 + imports</v>
      </c>
      <c r="G10" s="165" t="s">
        <v>30</v>
      </c>
      <c r="H10" s="154"/>
    </row>
    <row r="11" spans="1:12">
      <c r="A11" s="214" t="s">
        <v>57</v>
      </c>
      <c r="B11" s="219">
        <v>0</v>
      </c>
      <c r="C11" s="243"/>
      <c r="D11" s="241">
        <f>C11*B11</f>
        <v>0</v>
      </c>
      <c r="E11" s="310">
        <f>E9+B12</f>
        <v>241522020</v>
      </c>
      <c r="F11" s="247">
        <f>D9+D12</f>
        <v>50790699.458146028</v>
      </c>
      <c r="G11" s="107">
        <f>F11-D13</f>
        <v>50682707.754929356</v>
      </c>
      <c r="H11" s="154"/>
    </row>
    <row r="12" spans="1:12" ht="15" customHeight="1">
      <c r="A12" s="214" t="s">
        <v>15</v>
      </c>
      <c r="B12" s="219">
        <f>SUM(B10:B11)</f>
        <v>16020</v>
      </c>
      <c r="C12" s="244">
        <f>D12/B12</f>
        <v>0.20669961036147425</v>
      </c>
      <c r="D12" s="241">
        <f>SUM(D10:D11)</f>
        <v>3311.3277579908172</v>
      </c>
      <c r="E12" s="3"/>
      <c r="F12" s="30"/>
      <c r="G12" s="30"/>
      <c r="H12" s="31"/>
    </row>
    <row r="13" spans="1:12" ht="15.75" thickBot="1">
      <c r="A13" s="215" t="str">
        <f>A6</f>
        <v>Export</v>
      </c>
      <c r="B13" s="220">
        <f>Belize!B10+Guatemala!B11</f>
        <v>513526</v>
      </c>
      <c r="C13" s="69">
        <f>C9</f>
        <v>0.21029451910258146</v>
      </c>
      <c r="D13" s="72">
        <f>C13*B13</f>
        <v>107991.70321667225</v>
      </c>
      <c r="E13" s="33"/>
      <c r="F13" s="34"/>
      <c r="G13" s="34"/>
      <c r="H13" s="35"/>
    </row>
    <row r="14" spans="1:12" ht="15.75" thickBot="1">
      <c r="A14" s="30"/>
      <c r="B14" s="213"/>
      <c r="C14" s="213"/>
      <c r="D14" s="213"/>
      <c r="E14" s="30"/>
      <c r="F14" s="30"/>
      <c r="G14" s="30"/>
      <c r="H14" s="41"/>
    </row>
    <row r="15" spans="1:12" ht="30.75" customHeight="1">
      <c r="A15" s="184">
        <v>2009</v>
      </c>
      <c r="B15" s="238" t="s">
        <v>12</v>
      </c>
      <c r="C15" s="293" t="s">
        <v>14</v>
      </c>
      <c r="D15" s="238" t="str">
        <f>D8</f>
        <v xml:space="preserve">Tons CO2 </v>
      </c>
      <c r="E15" s="177" t="str">
        <f>E8</f>
        <v>Generation in country MWh</v>
      </c>
      <c r="F15" s="181" t="s">
        <v>16</v>
      </c>
      <c r="G15" s="178" t="s">
        <v>41</v>
      </c>
      <c r="H15" s="179" t="s">
        <v>33</v>
      </c>
    </row>
    <row r="16" spans="1:12" ht="15.75" customHeight="1" thickBot="1">
      <c r="A16" s="216" t="str">
        <f>A9</f>
        <v>Country</v>
      </c>
      <c r="B16" s="239" t="str">
        <f>B2</f>
        <v>Mexico</v>
      </c>
      <c r="C16" s="212">
        <v>0.22160852300881206</v>
      </c>
      <c r="D16" s="350">
        <f>E16*C16</f>
        <v>51739385.083913371</v>
      </c>
      <c r="E16" s="305">
        <v>233472000</v>
      </c>
      <c r="F16" s="217">
        <f>F18/E18</f>
        <v>0.22160852300881206</v>
      </c>
      <c r="G16" s="109">
        <f>E16-B20+B19</f>
        <v>233236867</v>
      </c>
      <c r="H16" s="168">
        <f>G18/G16</f>
        <v>0.22160852300881206</v>
      </c>
    </row>
    <row r="17" spans="1:8" ht="31.5" customHeight="1">
      <c r="A17" s="209" t="str">
        <f>A3</f>
        <v>Import   Guatemala</v>
      </c>
      <c r="B17" s="237">
        <v>0</v>
      </c>
      <c r="C17" s="242">
        <f>Guatemala!C16</f>
        <v>0.31579601604911672</v>
      </c>
      <c r="D17" s="240">
        <f>C17*B17</f>
        <v>0</v>
      </c>
      <c r="E17" s="183" t="str">
        <f>E10</f>
        <v>Generation + Imports</v>
      </c>
      <c r="F17" s="183" t="str">
        <f>F10</f>
        <v>Tons CO2 + imports</v>
      </c>
      <c r="G17" s="165" t="s">
        <v>30</v>
      </c>
      <c r="H17" s="154"/>
    </row>
    <row r="18" spans="1:8" ht="15.75" customHeight="1">
      <c r="A18" s="214" t="str">
        <f>A4</f>
        <v>Belize</v>
      </c>
      <c r="B18" s="219">
        <v>0</v>
      </c>
      <c r="C18" s="243"/>
      <c r="D18" s="241">
        <f>C18*B18</f>
        <v>0</v>
      </c>
      <c r="E18" s="310">
        <f>E16+B19</f>
        <v>233472000</v>
      </c>
      <c r="F18" s="248">
        <f>D16+D19</f>
        <v>51739385.083913371</v>
      </c>
      <c r="G18" s="107">
        <f>F18-D20</f>
        <v>51687277.607072741</v>
      </c>
      <c r="H18" s="154"/>
    </row>
    <row r="19" spans="1:8" ht="15.75" customHeight="1">
      <c r="A19" s="214" t="s">
        <v>15</v>
      </c>
      <c r="B19" s="219">
        <f>SUM(B17:B18)</f>
        <v>0</v>
      </c>
      <c r="C19" s="244" t="s">
        <v>58</v>
      </c>
      <c r="D19" s="241">
        <f>SUM(D17:D18)</f>
        <v>0</v>
      </c>
      <c r="E19" s="3"/>
      <c r="F19" s="30"/>
      <c r="G19" s="30"/>
      <c r="H19" s="31"/>
    </row>
    <row r="20" spans="1:8" ht="15.75" thickBot="1">
      <c r="A20" s="191" t="s">
        <v>28</v>
      </c>
      <c r="B20" s="195">
        <f>Belize!B16+Guatemala!B18</f>
        <v>235133</v>
      </c>
      <c r="C20" s="69">
        <f>C16</f>
        <v>0.22160852300881206</v>
      </c>
      <c r="D20" s="72">
        <f>C20*B20</f>
        <v>52107.47684063101</v>
      </c>
      <c r="E20" s="38"/>
      <c r="F20" s="38"/>
      <c r="G20" s="38"/>
      <c r="H20" s="192"/>
    </row>
    <row r="21" spans="1:8" ht="15.75" thickBot="1">
      <c r="A21" s="2"/>
      <c r="B21" s="2"/>
      <c r="C21" s="2"/>
      <c r="D21" s="2"/>
      <c r="E21" s="2"/>
      <c r="F21" s="2"/>
      <c r="G21" s="2"/>
      <c r="H21" s="2"/>
    </row>
    <row r="22" spans="1:8" ht="15.75" thickBot="1">
      <c r="A22" s="140" t="s">
        <v>24</v>
      </c>
      <c r="B22" s="141"/>
      <c r="C22" s="142"/>
      <c r="D22" s="143">
        <f>(C16+C9+C2)/3</f>
        <v>0.21526829202431555</v>
      </c>
      <c r="E22" s="2"/>
      <c r="F22" s="2"/>
      <c r="G22" s="2"/>
      <c r="H22" s="2"/>
    </row>
    <row r="23" spans="1:8" ht="15.75" thickBot="1">
      <c r="A23" s="140" t="s">
        <v>25</v>
      </c>
      <c r="B23" s="141"/>
      <c r="C23" s="142"/>
      <c r="D23" s="144">
        <f>(F16+F9+F2)/3</f>
        <v>0.21526821254165521</v>
      </c>
      <c r="E23" s="2"/>
      <c r="F23" s="2"/>
      <c r="G23" s="2"/>
      <c r="H23" s="2"/>
    </row>
    <row r="24" spans="1:8" ht="15.75" thickBot="1">
      <c r="A24" s="145" t="s">
        <v>35</v>
      </c>
      <c r="B24" s="146"/>
      <c r="C24" s="146"/>
      <c r="D24" s="147">
        <f>(H16+H9+H2)/3</f>
        <v>0.21526821237229851</v>
      </c>
      <c r="E24" s="2"/>
      <c r="F24" s="2"/>
      <c r="G24" s="2"/>
      <c r="H24" s="2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D21" sqref="D21"/>
    </sheetView>
  </sheetViews>
  <sheetFormatPr defaultRowHeight="15"/>
  <cols>
    <col min="1" max="2" width="16" customWidth="1"/>
    <col min="3" max="3" width="15" customWidth="1"/>
    <col min="4" max="4" width="14.140625" customWidth="1"/>
    <col min="5" max="5" width="14.42578125" customWidth="1"/>
    <col min="6" max="6" width="14.85546875" customWidth="1"/>
    <col min="7" max="7" width="14.42578125" customWidth="1"/>
    <col min="8" max="8" width="15.140625" customWidth="1"/>
  </cols>
  <sheetData>
    <row r="1" spans="1:8" s="4" customFormat="1" ht="33.75" customHeight="1">
      <c r="A1" s="110">
        <v>2011</v>
      </c>
      <c r="B1" s="55" t="s">
        <v>36</v>
      </c>
      <c r="C1" s="172" t="s">
        <v>14</v>
      </c>
      <c r="D1" s="55" t="s">
        <v>20</v>
      </c>
      <c r="E1" s="55" t="s">
        <v>31</v>
      </c>
      <c r="F1" s="173" t="s">
        <v>16</v>
      </c>
      <c r="G1" s="111" t="s">
        <v>41</v>
      </c>
      <c r="H1" s="112" t="s">
        <v>33</v>
      </c>
    </row>
    <row r="2" spans="1:8" ht="15.75" thickBot="1">
      <c r="A2" s="149" t="s">
        <v>34</v>
      </c>
      <c r="B2" s="212" t="s">
        <v>57</v>
      </c>
      <c r="C2" s="212">
        <v>1.8633017039215698E-2</v>
      </c>
      <c r="D2" s="108">
        <f>E2*C2</f>
        <v>6004.11</v>
      </c>
      <c r="E2" s="109">
        <v>322229.62</v>
      </c>
      <c r="F2" s="212">
        <f>F4/E4</f>
        <v>8.6231192809778562E-2</v>
      </c>
      <c r="G2" s="109">
        <f>E2-B5+B4</f>
        <v>492841.55</v>
      </c>
      <c r="H2" s="182">
        <f>G4/G2</f>
        <v>8.6231192809778562E-2</v>
      </c>
    </row>
    <row r="3" spans="1:8" s="4" customFormat="1" ht="30">
      <c r="A3" s="209" t="s">
        <v>44</v>
      </c>
      <c r="B3" s="319"/>
      <c r="C3" s="320"/>
      <c r="D3" s="321"/>
      <c r="E3" s="116" t="s">
        <v>32</v>
      </c>
      <c r="F3" s="116" t="s">
        <v>40</v>
      </c>
      <c r="G3" s="165" t="s">
        <v>30</v>
      </c>
      <c r="H3" s="322"/>
    </row>
    <row r="4" spans="1:8">
      <c r="A4" s="113" t="s">
        <v>55</v>
      </c>
      <c r="B4" s="298">
        <v>170611.93</v>
      </c>
      <c r="C4" s="58">
        <f>Mexico!C2</f>
        <v>0.2139018339615531</v>
      </c>
      <c r="D4" s="295">
        <f>C4*B4</f>
        <v>36494.204722720118</v>
      </c>
      <c r="E4" s="107">
        <f>E2+B4</f>
        <v>492841.55</v>
      </c>
      <c r="F4" s="70">
        <f>D2+D4</f>
        <v>42498.314722720119</v>
      </c>
      <c r="G4" s="107">
        <f>D2+D4-D5</f>
        <v>42498.314722720119</v>
      </c>
      <c r="H4" s="154"/>
    </row>
    <row r="5" spans="1:8" ht="15.75" thickBot="1">
      <c r="A5" s="56" t="s">
        <v>28</v>
      </c>
      <c r="B5" s="323"/>
      <c r="C5" s="203">
        <f>C2</f>
        <v>1.8633017039215698E-2</v>
      </c>
      <c r="D5" s="297">
        <f>C5*B5</f>
        <v>0</v>
      </c>
      <c r="E5" s="13"/>
      <c r="F5" s="13"/>
      <c r="G5" s="13"/>
      <c r="H5" s="14"/>
    </row>
    <row r="6" spans="1:8" ht="15.75" thickBot="1">
      <c r="A6" s="5"/>
      <c r="B6" s="59"/>
      <c r="C6" s="59"/>
      <c r="D6" s="59"/>
      <c r="E6" s="5"/>
      <c r="H6" s="15"/>
    </row>
    <row r="7" spans="1:8" s="4" customFormat="1" ht="33" customHeight="1">
      <c r="A7" s="110">
        <v>2010</v>
      </c>
      <c r="B7" s="252" t="str">
        <f>B1</f>
        <v>Import - Export MWh</v>
      </c>
      <c r="C7" s="300" t="s">
        <v>14</v>
      </c>
      <c r="D7" s="252" t="str">
        <f>D1</f>
        <v xml:space="preserve">Tons CO2 </v>
      </c>
      <c r="E7" s="55" t="str">
        <f>E1</f>
        <v>Generation in country MWh</v>
      </c>
      <c r="F7" s="173" t="s">
        <v>16</v>
      </c>
      <c r="G7" s="111" t="s">
        <v>41</v>
      </c>
      <c r="H7" s="112" t="s">
        <v>33</v>
      </c>
    </row>
    <row r="8" spans="1:8" ht="15.75" thickBot="1">
      <c r="A8" s="149" t="str">
        <f>A2</f>
        <v>Country</v>
      </c>
      <c r="B8" s="253" t="str">
        <f>B2</f>
        <v>Belize</v>
      </c>
      <c r="C8" s="253">
        <v>2.9260948025129831E-2</v>
      </c>
      <c r="D8" s="296">
        <f>E8*C8</f>
        <v>9462.82</v>
      </c>
      <c r="E8" s="109">
        <v>323394.17</v>
      </c>
      <c r="F8" s="212">
        <f>F10/E10</f>
        <v>8.9150684669911065E-2</v>
      </c>
      <c r="G8" s="109">
        <f>E8-B11+B10</f>
        <v>483270.17</v>
      </c>
      <c r="H8" s="182">
        <f>G10/G8</f>
        <v>8.9150684669911065E-2</v>
      </c>
    </row>
    <row r="9" spans="1:8" s="4" customFormat="1" ht="30">
      <c r="A9" s="209" t="s">
        <v>44</v>
      </c>
      <c r="B9" s="319"/>
      <c r="C9" s="320"/>
      <c r="D9" s="321"/>
      <c r="E9" s="116" t="str">
        <f>E3</f>
        <v>Generation + Imports</v>
      </c>
      <c r="F9" s="116" t="str">
        <f>F3</f>
        <v>Tons CO2 + imports</v>
      </c>
      <c r="G9" s="165" t="s">
        <v>30</v>
      </c>
      <c r="H9" s="322"/>
    </row>
    <row r="10" spans="1:8">
      <c r="A10" s="113" t="str">
        <f>A4</f>
        <v>Mexico</v>
      </c>
      <c r="B10" s="298">
        <v>159876</v>
      </c>
      <c r="C10" s="58">
        <f>Mexico!C9</f>
        <v>0.21029451910258146</v>
      </c>
      <c r="D10" s="295">
        <f>C10*B10</f>
        <v>33621.046536044312</v>
      </c>
      <c r="E10" s="107">
        <f>E8+B10</f>
        <v>483270.17</v>
      </c>
      <c r="F10" s="70">
        <f>D8+D10</f>
        <v>43083.866536044312</v>
      </c>
      <c r="G10" s="107">
        <f>D8+D10-D11</f>
        <v>43083.866536044312</v>
      </c>
      <c r="H10" s="154"/>
    </row>
    <row r="11" spans="1:8" ht="15.75" thickBot="1">
      <c r="A11" s="56" t="str">
        <f>A5</f>
        <v>Export</v>
      </c>
      <c r="B11" s="299"/>
      <c r="C11" s="203">
        <f>C8</f>
        <v>2.9260948025129831E-2</v>
      </c>
      <c r="D11" s="297">
        <f>C11*B11</f>
        <v>0</v>
      </c>
      <c r="E11" s="12"/>
      <c r="F11" s="13"/>
      <c r="G11" s="13"/>
      <c r="H11" s="14"/>
    </row>
    <row r="12" spans="1:8" ht="15.75" thickBot="1">
      <c r="B12" s="60"/>
      <c r="C12" s="60"/>
      <c r="D12" s="60"/>
      <c r="H12" s="15"/>
    </row>
    <row r="13" spans="1:8" s="4" customFormat="1" ht="34.5" customHeight="1">
      <c r="A13" s="110">
        <v>2009</v>
      </c>
      <c r="B13" s="252" t="str">
        <f>B7</f>
        <v>Import - Export MWh</v>
      </c>
      <c r="C13" s="300" t="s">
        <v>14</v>
      </c>
      <c r="D13" s="252" t="str">
        <f>D7</f>
        <v xml:space="preserve">Tons CO2 </v>
      </c>
      <c r="E13" s="55" t="str">
        <f>E7</f>
        <v>Generation in country MWh</v>
      </c>
      <c r="F13" s="173" t="s">
        <v>16</v>
      </c>
      <c r="G13" s="111" t="s">
        <v>41</v>
      </c>
      <c r="H13" s="112" t="s">
        <v>33</v>
      </c>
    </row>
    <row r="14" spans="1:8" ht="15.75" thickBot="1">
      <c r="A14" s="149" t="str">
        <f>A8</f>
        <v>Country</v>
      </c>
      <c r="B14" s="253" t="str">
        <f>B8</f>
        <v>Belize</v>
      </c>
      <c r="C14" s="253">
        <v>0.19551659213703376</v>
      </c>
      <c r="D14" s="296">
        <f>E14*C14</f>
        <v>50165.7</v>
      </c>
      <c r="E14" s="109">
        <v>256580.27</v>
      </c>
      <c r="F14" s="212">
        <f>F16/E16</f>
        <v>0.20744928702141641</v>
      </c>
      <c r="G14" s="109">
        <f>E14-B17+B16</f>
        <v>472813.27</v>
      </c>
      <c r="H14" s="182">
        <f>G16/G14</f>
        <v>0.20744928702141641</v>
      </c>
    </row>
    <row r="15" spans="1:8" s="4" customFormat="1" ht="30">
      <c r="A15" s="209" t="s">
        <v>44</v>
      </c>
      <c r="B15" s="319"/>
      <c r="C15" s="320"/>
      <c r="D15" s="321"/>
      <c r="E15" s="116" t="str">
        <f>E9</f>
        <v>Generation + Imports</v>
      </c>
      <c r="F15" s="116" t="str">
        <f>F9</f>
        <v>Tons CO2 + imports</v>
      </c>
      <c r="G15" s="165" t="s">
        <v>30</v>
      </c>
      <c r="H15" s="322"/>
    </row>
    <row r="16" spans="1:8">
      <c r="A16" s="113" t="str">
        <f>A10</f>
        <v>Mexico</v>
      </c>
      <c r="B16" s="298">
        <v>216233</v>
      </c>
      <c r="C16" s="58">
        <f>Mexico!C16</f>
        <v>0.22160852300881206</v>
      </c>
      <c r="D16" s="295">
        <f>C16*B16</f>
        <v>47919.075755764461</v>
      </c>
      <c r="E16" s="107">
        <f>E14+B16</f>
        <v>472813.27</v>
      </c>
      <c r="F16" s="70">
        <f>D14+D16</f>
        <v>98084.775755764451</v>
      </c>
      <c r="G16" s="107">
        <f>D14+D16-D17</f>
        <v>98084.775755764451</v>
      </c>
      <c r="H16" s="154"/>
    </row>
    <row r="17" spans="1:8" ht="15.75" thickBot="1">
      <c r="A17" s="56" t="str">
        <f>A11</f>
        <v>Export</v>
      </c>
      <c r="B17" s="109"/>
      <c r="C17" s="203">
        <f>C14</f>
        <v>0.19551659213703376</v>
      </c>
      <c r="D17" s="297">
        <f>C17*B17</f>
        <v>0</v>
      </c>
      <c r="E17" s="13"/>
      <c r="F17" s="13"/>
      <c r="G17" s="13"/>
      <c r="H17" s="208"/>
    </row>
    <row r="18" spans="1:8" ht="15.75" thickBot="1"/>
    <row r="19" spans="1:8" ht="15.75" thickBot="1">
      <c r="A19" s="140" t="s">
        <v>24</v>
      </c>
      <c r="B19" s="146"/>
      <c r="C19" s="142"/>
      <c r="D19" s="205">
        <f>(C14+C8+C2)/3</f>
        <v>8.1136852400459758E-2</v>
      </c>
    </row>
    <row r="20" spans="1:8" ht="15.75" thickBot="1">
      <c r="A20" s="190" t="s">
        <v>25</v>
      </c>
      <c r="B20" s="188"/>
      <c r="C20" s="189"/>
      <c r="D20" s="206">
        <f>(F14+F8+F2)/3</f>
        <v>0.12761038816703532</v>
      </c>
      <c r="F20" s="324"/>
    </row>
    <row r="21" spans="1:8" ht="15.75" thickBot="1">
      <c r="A21" s="187" t="s">
        <v>35</v>
      </c>
      <c r="B21" s="188"/>
      <c r="C21" s="189"/>
      <c r="D21" s="206">
        <f>(H14+H8+H2)/3</f>
        <v>0.12761038816703532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4"/>
  <sheetViews>
    <sheetView topLeftCell="A5" zoomScaleNormal="100" workbookViewId="0">
      <selection activeCell="D24" sqref="D24"/>
    </sheetView>
  </sheetViews>
  <sheetFormatPr defaultRowHeight="15"/>
  <cols>
    <col min="1" max="1" width="16.42578125" customWidth="1"/>
    <col min="2" max="2" width="12.28515625" customWidth="1"/>
    <col min="3" max="3" width="12" customWidth="1"/>
    <col min="4" max="4" width="12.5703125" customWidth="1"/>
    <col min="5" max="5" width="16" customWidth="1"/>
    <col min="6" max="6" width="16.140625" customWidth="1"/>
    <col min="7" max="7" width="15" customWidth="1"/>
    <col min="8" max="8" width="14.42578125" style="15" customWidth="1"/>
    <col min="9" max="9" width="19.140625" style="15" customWidth="1"/>
    <col min="10" max="10" width="27.28515625" customWidth="1"/>
  </cols>
  <sheetData>
    <row r="1" spans="1:10" ht="33" customHeight="1" thickBot="1">
      <c r="A1" s="125">
        <v>2011</v>
      </c>
      <c r="B1" s="271" t="s">
        <v>37</v>
      </c>
      <c r="C1" s="272" t="s">
        <v>14</v>
      </c>
      <c r="D1" s="271" t="s">
        <v>20</v>
      </c>
      <c r="E1" s="273" t="s">
        <v>31</v>
      </c>
      <c r="F1" s="274" t="s">
        <v>16</v>
      </c>
      <c r="G1" s="131" t="s">
        <v>41</v>
      </c>
      <c r="H1" s="275" t="s">
        <v>33</v>
      </c>
    </row>
    <row r="2" spans="1:10" ht="15.75" thickBot="1">
      <c r="A2" s="118" t="s">
        <v>34</v>
      </c>
      <c r="B2" s="119" t="s">
        <v>0</v>
      </c>
      <c r="C2" s="120">
        <v>7.3024304775251694E-2</v>
      </c>
      <c r="D2" s="121">
        <f>E2*C2</f>
        <v>711823.86467117991</v>
      </c>
      <c r="E2" s="268">
        <v>9747766.402733637</v>
      </c>
      <c r="F2" s="119">
        <f>F4/E4</f>
        <v>7.5866955268035149E-2</v>
      </c>
      <c r="G2" s="123">
        <f>E2-B6+B5</f>
        <v>9709462.402733637</v>
      </c>
      <c r="H2" s="124">
        <f>G4/G2</f>
        <v>7.5900596137253751E-2</v>
      </c>
    </row>
    <row r="3" spans="1:10" ht="29.25" customHeight="1">
      <c r="A3" s="133" t="s">
        <v>27</v>
      </c>
      <c r="B3" s="103">
        <v>7565</v>
      </c>
      <c r="C3" s="104">
        <f>Panama!C2</f>
        <v>0.26178149701139986</v>
      </c>
      <c r="D3" s="105">
        <f>C3*B3</f>
        <v>1980.3770248912399</v>
      </c>
      <c r="E3" s="269" t="s">
        <v>32</v>
      </c>
      <c r="F3" s="116" t="s">
        <v>40</v>
      </c>
      <c r="G3" s="117" t="s">
        <v>30</v>
      </c>
      <c r="H3" s="78"/>
      <c r="I3" s="47"/>
    </row>
    <row r="4" spans="1:10">
      <c r="A4" s="113" t="s">
        <v>4</v>
      </c>
      <c r="B4" s="99">
        <v>69036</v>
      </c>
      <c r="C4" s="98">
        <f>Nicaragua!C2</f>
        <v>0.45687178550125113</v>
      </c>
      <c r="D4" s="73">
        <f>C4*B4</f>
        <v>31540.600583864372</v>
      </c>
      <c r="E4" s="266">
        <f>E2+B5</f>
        <v>9824367.402733637</v>
      </c>
      <c r="F4" s="90">
        <f>D2+D5</f>
        <v>745344.84227993549</v>
      </c>
      <c r="G4" s="107">
        <f>F4-D6</f>
        <v>736953.98453973525</v>
      </c>
      <c r="H4" s="78"/>
      <c r="I4" s="47"/>
      <c r="J4" s="96"/>
    </row>
    <row r="5" spans="1:10" ht="17.25" customHeight="1">
      <c r="A5" s="133" t="s">
        <v>15</v>
      </c>
      <c r="B5" s="103">
        <f>SUM(B3:B4)</f>
        <v>76601</v>
      </c>
      <c r="C5" s="104">
        <f>D5/B5</f>
        <v>0.43760496088504863</v>
      </c>
      <c r="D5" s="73">
        <f>SUM(D3:D4)</f>
        <v>33520.977608755609</v>
      </c>
      <c r="E5" s="84"/>
      <c r="F5" s="91"/>
      <c r="G5" s="91"/>
      <c r="H5" s="78"/>
      <c r="I5" s="47"/>
    </row>
    <row r="6" spans="1:10" ht="15.75" thickBot="1">
      <c r="A6" s="114" t="s">
        <v>28</v>
      </c>
      <c r="B6" s="109">
        <f>43481+71424</f>
        <v>114905</v>
      </c>
      <c r="C6" s="68">
        <f>C2</f>
        <v>7.3024304775251694E-2</v>
      </c>
      <c r="D6" s="270">
        <f>C6*B6</f>
        <v>8390.8577402002957</v>
      </c>
      <c r="E6" s="92"/>
      <c r="F6" s="93"/>
      <c r="G6" s="93"/>
      <c r="H6" s="79"/>
      <c r="I6" s="47"/>
    </row>
    <row r="7" spans="1:10" ht="15.75" thickBot="1">
      <c r="A7" s="5"/>
      <c r="B7" s="88"/>
      <c r="C7" s="81"/>
      <c r="D7" s="74"/>
      <c r="E7" s="94"/>
      <c r="F7" s="85"/>
      <c r="G7" s="85"/>
      <c r="H7" s="80"/>
    </row>
    <row r="8" spans="1:10" ht="32.25" thickBot="1">
      <c r="A8" s="125">
        <v>2010</v>
      </c>
      <c r="B8" s="126" t="str">
        <f>B1</f>
        <v>Imports - Export MWh</v>
      </c>
      <c r="C8" s="127" t="s">
        <v>14</v>
      </c>
      <c r="D8" s="128" t="s">
        <v>20</v>
      </c>
      <c r="E8" s="129" t="s">
        <v>31</v>
      </c>
      <c r="F8" s="130" t="s">
        <v>16</v>
      </c>
      <c r="G8" s="131" t="str">
        <f>G1</f>
        <v>Generation - export + import</v>
      </c>
      <c r="H8" s="132" t="str">
        <f>H1</f>
        <v>GEF export &amp; import</v>
      </c>
      <c r="I8" s="44"/>
    </row>
    <row r="9" spans="1:10" ht="15.75" thickBot="1">
      <c r="A9" s="118" t="str">
        <f>A2</f>
        <v>Country</v>
      </c>
      <c r="B9" s="136" t="s">
        <v>0</v>
      </c>
      <c r="C9" s="137">
        <v>6.301189979602756E-2</v>
      </c>
      <c r="D9" s="121">
        <f>E9*C9</f>
        <v>597919.09712579998</v>
      </c>
      <c r="E9" s="122">
        <v>9488986.9859707747</v>
      </c>
      <c r="F9" s="119">
        <f>F11/E11</f>
        <v>6.6831046618549786E-2</v>
      </c>
      <c r="G9" s="123">
        <f>E9-B13+B12</f>
        <v>9513973.9859707747</v>
      </c>
      <c r="H9" s="124">
        <f>G11/G9</f>
        <v>6.6874902297677757E-2</v>
      </c>
      <c r="I9" s="47"/>
    </row>
    <row r="10" spans="1:10" ht="30">
      <c r="A10" s="133" t="s">
        <v>27</v>
      </c>
      <c r="B10" s="103">
        <v>38179</v>
      </c>
      <c r="C10" s="134">
        <f>Panama!C8</f>
        <v>0.18530251552803104</v>
      </c>
      <c r="D10" s="105">
        <f>C10*B10</f>
        <v>7074.6647403446968</v>
      </c>
      <c r="E10" s="135" t="str">
        <f>E3</f>
        <v>Generation + Imports</v>
      </c>
      <c r="F10" s="135" t="str">
        <f>F3</f>
        <v>Tons CO2 + imports</v>
      </c>
      <c r="G10" s="117" t="s">
        <v>30</v>
      </c>
      <c r="H10" s="78"/>
      <c r="I10" s="47"/>
    </row>
    <row r="11" spans="1:10">
      <c r="A11" s="113" t="s">
        <v>4</v>
      </c>
      <c r="B11" s="99">
        <v>96058</v>
      </c>
      <c r="C11" s="102">
        <f>Nicaragua!C9</f>
        <v>0.39701398073054472</v>
      </c>
      <c r="D11" s="73">
        <f>C11*B11</f>
        <v>38136.368961014668</v>
      </c>
      <c r="E11" s="90">
        <f>E9+B12</f>
        <v>9623223.9859707747</v>
      </c>
      <c r="F11" s="90">
        <f>D9+D12</f>
        <v>643130.13082715939</v>
      </c>
      <c r="G11" s="107">
        <f>F11-D13</f>
        <v>636246.08077444334</v>
      </c>
      <c r="H11" s="78"/>
      <c r="I11" s="47"/>
    </row>
    <row r="12" spans="1:10">
      <c r="A12" s="11" t="s">
        <v>15</v>
      </c>
      <c r="B12" s="106">
        <f>SUM(B10:B11)</f>
        <v>134237</v>
      </c>
      <c r="C12" s="98">
        <f>D12/B12</f>
        <v>0.33680009014920897</v>
      </c>
      <c r="D12" s="73">
        <f>SUM(D10:D11)</f>
        <v>45211.033701359367</v>
      </c>
      <c r="E12" s="84"/>
      <c r="F12" s="91"/>
      <c r="G12" s="91"/>
      <c r="H12" s="78"/>
      <c r="I12" s="47"/>
    </row>
    <row r="13" spans="1:10" ht="15.75" thickBot="1">
      <c r="A13" s="114" t="s">
        <v>28</v>
      </c>
      <c r="B13" s="109">
        <f>70175+39075</f>
        <v>109250</v>
      </c>
      <c r="C13" s="68">
        <f>C9</f>
        <v>6.301189979602756E-2</v>
      </c>
      <c r="D13" s="175">
        <f>C13*B13</f>
        <v>6884.0500527160111</v>
      </c>
      <c r="E13" s="92"/>
      <c r="F13" s="93"/>
      <c r="G13" s="93"/>
      <c r="H13" s="79"/>
      <c r="I13" s="47"/>
    </row>
    <row r="14" spans="1:10" ht="15.75" thickBot="1">
      <c r="B14" s="89"/>
      <c r="C14" s="83"/>
      <c r="D14" s="75"/>
      <c r="E14" s="85"/>
      <c r="F14" s="85"/>
      <c r="G14" s="85"/>
      <c r="H14" s="80"/>
    </row>
    <row r="15" spans="1:10" ht="32.25" thickBot="1">
      <c r="A15" s="125">
        <v>2009</v>
      </c>
      <c r="B15" s="126" t="str">
        <f>B8</f>
        <v>Imports - Export MWh</v>
      </c>
      <c r="C15" s="127" t="s">
        <v>14</v>
      </c>
      <c r="D15" s="128" t="s">
        <v>20</v>
      </c>
      <c r="E15" s="129" t="str">
        <f>E8</f>
        <v>Generation in country MWh</v>
      </c>
      <c r="F15" s="130" t="s">
        <v>16</v>
      </c>
      <c r="G15" s="131" t="str">
        <f>G8</f>
        <v>Generation - export + import</v>
      </c>
      <c r="H15" s="132" t="str">
        <f>H8</f>
        <v>GEF export &amp; import</v>
      </c>
      <c r="I15" s="44"/>
    </row>
    <row r="16" spans="1:10" ht="15.75" thickBot="1">
      <c r="A16" s="118" t="s">
        <v>34</v>
      </c>
      <c r="B16" s="136" t="s">
        <v>0</v>
      </c>
      <c r="C16" s="137">
        <v>3.7881390996792615E-2</v>
      </c>
      <c r="D16" s="121">
        <f>E16*C16</f>
        <v>347307.33099077997</v>
      </c>
      <c r="E16" s="122">
        <v>9168283.4724888057</v>
      </c>
      <c r="F16" s="119">
        <f>F18/E18</f>
        <v>4.0740479054259891E-2</v>
      </c>
      <c r="G16" s="123">
        <f>E16-B20+B19</f>
        <v>9183206.4724888057</v>
      </c>
      <c r="H16" s="124">
        <f>G18/G16</f>
        <v>4.0777834723275376E-2</v>
      </c>
      <c r="I16" s="47"/>
    </row>
    <row r="17" spans="1:9" ht="30">
      <c r="A17" s="133" t="s">
        <v>27</v>
      </c>
      <c r="B17" s="103">
        <v>93610</v>
      </c>
      <c r="C17" s="138">
        <f>Panama!C14</f>
        <v>0.12418050446935205</v>
      </c>
      <c r="D17" s="139">
        <f>C17*B17</f>
        <v>11624.537023376046</v>
      </c>
      <c r="E17" s="135" t="str">
        <f>E10</f>
        <v>Generation + Imports</v>
      </c>
      <c r="F17" s="135" t="str">
        <f>F10</f>
        <v>Tons CO2 + imports</v>
      </c>
      <c r="G17" s="117" t="s">
        <v>30</v>
      </c>
      <c r="H17" s="78"/>
      <c r="I17" s="47"/>
    </row>
    <row r="18" spans="1:9">
      <c r="A18" s="113" t="s">
        <v>4</v>
      </c>
      <c r="B18" s="95">
        <v>41297</v>
      </c>
      <c r="C18" s="82">
        <f>Nicaragua!C16</f>
        <v>0.48634449398417162</v>
      </c>
      <c r="D18" s="115">
        <f>C18*B18</f>
        <v>20084.568568064336</v>
      </c>
      <c r="E18" s="90">
        <f>E16+B19</f>
        <v>9303190.4724888057</v>
      </c>
      <c r="F18" s="90">
        <f>D16+D19</f>
        <v>379016.43658222037</v>
      </c>
      <c r="G18" s="107">
        <f>F18-D20</f>
        <v>374471.2757648612</v>
      </c>
      <c r="H18" s="78"/>
      <c r="I18" s="47"/>
    </row>
    <row r="19" spans="1:9">
      <c r="A19" s="113" t="s">
        <v>15</v>
      </c>
      <c r="B19" s="86">
        <f>SUM(B17:B18)</f>
        <v>134907</v>
      </c>
      <c r="C19" s="98">
        <f>D19/B19</f>
        <v>0.23504418296634264</v>
      </c>
      <c r="D19" s="73">
        <f>SUM(D17:D18)</f>
        <v>31709.105591440384</v>
      </c>
      <c r="E19" s="76"/>
      <c r="F19" s="77"/>
      <c r="G19" s="77"/>
      <c r="H19" s="78"/>
      <c r="I19" s="47"/>
    </row>
    <row r="20" spans="1:9" ht="15.75" thickBot="1">
      <c r="A20" s="114" t="s">
        <v>28</v>
      </c>
      <c r="B20" s="109">
        <f>63150+56834</f>
        <v>119984</v>
      </c>
      <c r="C20" s="68">
        <f>C16</f>
        <v>3.7881390996792615E-2</v>
      </c>
      <c r="D20" s="175">
        <f>C20*B20</f>
        <v>4545.1608173591649</v>
      </c>
      <c r="E20" s="13"/>
      <c r="F20" s="13"/>
      <c r="G20" s="13"/>
      <c r="H20" s="14"/>
    </row>
    <row r="21" spans="1:9" ht="15.75" thickBot="1">
      <c r="A21" s="101"/>
      <c r="B21" s="89"/>
    </row>
    <row r="22" spans="1:9" ht="17.25" customHeight="1" thickBot="1">
      <c r="A22" s="140" t="s">
        <v>24</v>
      </c>
      <c r="B22" s="141"/>
      <c r="C22" s="142"/>
      <c r="D22" s="143">
        <f>(C16+C9+C2)/3</f>
        <v>5.7972531856023947E-2</v>
      </c>
    </row>
    <row r="23" spans="1:9" ht="15.75" thickBot="1">
      <c r="A23" s="140" t="s">
        <v>25</v>
      </c>
      <c r="B23" s="141"/>
      <c r="C23" s="142"/>
      <c r="D23" s="144">
        <f>(F16+F9+F2)/3</f>
        <v>6.1146160313614938E-2</v>
      </c>
    </row>
    <row r="24" spans="1:9" ht="15.75" thickBot="1">
      <c r="A24" s="145" t="s">
        <v>35</v>
      </c>
      <c r="B24" s="146"/>
      <c r="C24" s="146"/>
      <c r="D24" s="147">
        <f>(H16+H9+H2)/3</f>
        <v>6.1184444386068959E-2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4"/>
  <sheetViews>
    <sheetView topLeftCell="A5" workbookViewId="0">
      <selection activeCell="D22" sqref="D22"/>
    </sheetView>
  </sheetViews>
  <sheetFormatPr defaultRowHeight="15"/>
  <cols>
    <col min="1" max="1" width="17.28515625" customWidth="1"/>
    <col min="2" max="2" width="14.28515625" customWidth="1"/>
    <col min="3" max="3" width="12.28515625" customWidth="1"/>
    <col min="4" max="4" width="13.42578125" customWidth="1"/>
    <col min="5" max="5" width="15.5703125" customWidth="1"/>
    <col min="6" max="6" width="13.28515625" customWidth="1"/>
    <col min="7" max="7" width="16" customWidth="1"/>
    <col min="8" max="8" width="13.85546875" customWidth="1"/>
    <col min="9" max="9" width="20.5703125" customWidth="1"/>
    <col min="10" max="10" width="24.7109375" customWidth="1"/>
  </cols>
  <sheetData>
    <row r="1" spans="1:12" s="4" customFormat="1" ht="31.5" customHeight="1">
      <c r="A1" s="110">
        <v>2011</v>
      </c>
      <c r="B1" s="177" t="s">
        <v>36</v>
      </c>
      <c r="C1" s="180" t="s">
        <v>14</v>
      </c>
      <c r="D1" s="148" t="s">
        <v>39</v>
      </c>
      <c r="E1" s="177" t="s">
        <v>31</v>
      </c>
      <c r="F1" s="181" t="s">
        <v>16</v>
      </c>
      <c r="G1" s="178" t="s">
        <v>41</v>
      </c>
      <c r="H1" s="179" t="s">
        <v>33</v>
      </c>
      <c r="K1" s="46"/>
      <c r="L1" s="46"/>
    </row>
    <row r="2" spans="1:12" ht="15.75" thickBot="1">
      <c r="A2" s="149" t="s">
        <v>13</v>
      </c>
      <c r="B2" s="176" t="s">
        <v>1</v>
      </c>
      <c r="C2" s="160">
        <v>8.5794892287759647E-2</v>
      </c>
      <c r="D2" s="163">
        <f>E2*C2</f>
        <v>491484.61995965993</v>
      </c>
      <c r="E2" s="164">
        <v>5728600</v>
      </c>
      <c r="F2" s="167">
        <f>F4/E4</f>
        <v>9.162414552772169E-2</v>
      </c>
      <c r="G2" s="109">
        <f>E2-B6+B5</f>
        <v>5843350</v>
      </c>
      <c r="H2" s="168">
        <f>G4/G2</f>
        <v>9.1727015758813729E-2</v>
      </c>
    </row>
    <row r="3" spans="1:12" ht="30">
      <c r="A3" s="133" t="s">
        <v>45</v>
      </c>
      <c r="B3" s="103">
        <v>152857</v>
      </c>
      <c r="C3" s="161">
        <f>Guatemala!C2</f>
        <v>0.20307891464560171</v>
      </c>
      <c r="D3" s="159">
        <f>C3*B3</f>
        <v>31042.033655982741</v>
      </c>
      <c r="E3" s="194" t="s">
        <v>32</v>
      </c>
      <c r="F3" s="194" t="s">
        <v>40</v>
      </c>
      <c r="G3" s="165" t="s">
        <v>30</v>
      </c>
      <c r="H3" s="154"/>
      <c r="I3" s="45"/>
      <c r="J3" s="16"/>
    </row>
    <row r="4" spans="1:12">
      <c r="A4" s="113" t="s">
        <v>3</v>
      </c>
      <c r="B4" s="97">
        <v>65012</v>
      </c>
      <c r="C4" s="162">
        <f>Honduras!C2</f>
        <v>0.34322105790381729</v>
      </c>
      <c r="D4" s="71">
        <f>C4*B4</f>
        <v>22313.487416442971</v>
      </c>
      <c r="E4" s="166">
        <f>E2+B5</f>
        <v>5946469</v>
      </c>
      <c r="F4" s="166">
        <f>D2+D5</f>
        <v>544840.14103208564</v>
      </c>
      <c r="G4" s="107">
        <f>F4-D6</f>
        <v>535993.05753426417</v>
      </c>
      <c r="H4" s="154"/>
      <c r="I4" s="45"/>
      <c r="J4" s="16"/>
    </row>
    <row r="5" spans="1:12">
      <c r="A5" s="113" t="s">
        <v>15</v>
      </c>
      <c r="B5" s="97">
        <f>SUM(B3:B4)</f>
        <v>217869</v>
      </c>
      <c r="C5" s="66">
        <f>D5/B5</f>
        <v>0.24489725969470513</v>
      </c>
      <c r="D5" s="71">
        <f>SUM(D3:D4)</f>
        <v>53355.521072425712</v>
      </c>
      <c r="E5" s="63"/>
      <c r="F5" s="155"/>
      <c r="G5" s="155"/>
      <c r="H5" s="156"/>
      <c r="I5" s="45"/>
      <c r="J5" s="16"/>
    </row>
    <row r="6" spans="1:12" ht="15.75" thickBot="1">
      <c r="A6" s="56" t="s">
        <v>28</v>
      </c>
      <c r="B6" s="100">
        <f>73+103046</f>
        <v>103119</v>
      </c>
      <c r="C6" s="68">
        <f>C2</f>
        <v>8.5794892287759647E-2</v>
      </c>
      <c r="D6" s="175">
        <f>C6*B6</f>
        <v>8847.0834978214862</v>
      </c>
      <c r="E6" s="64"/>
      <c r="F6" s="157"/>
      <c r="G6" s="157"/>
      <c r="H6" s="158"/>
      <c r="I6" s="45"/>
      <c r="J6" s="16"/>
    </row>
    <row r="7" spans="1:12" ht="15.75" thickBot="1">
      <c r="A7" s="5"/>
      <c r="B7" s="9"/>
      <c r="C7" s="9"/>
      <c r="D7" s="9"/>
      <c r="E7" s="5"/>
      <c r="F7" s="16"/>
      <c r="G7" s="16"/>
      <c r="H7" s="21"/>
      <c r="I7" s="21"/>
      <c r="J7" s="16"/>
    </row>
    <row r="8" spans="1:12" s="4" customFormat="1" ht="31.5" customHeight="1">
      <c r="A8" s="110">
        <v>2010</v>
      </c>
      <c r="B8" s="177" t="s">
        <v>36</v>
      </c>
      <c r="C8" s="180" t="s">
        <v>14</v>
      </c>
      <c r="D8" s="177" t="str">
        <f>D1</f>
        <v>Tons CO2</v>
      </c>
      <c r="E8" s="177" t="str">
        <f>E1</f>
        <v>Generation in country MWh</v>
      </c>
      <c r="F8" s="181" t="s">
        <v>16</v>
      </c>
      <c r="G8" s="178" t="str">
        <f>G1</f>
        <v>Generation - export + import</v>
      </c>
      <c r="H8" s="179" t="str">
        <f>H1</f>
        <v>GEF export &amp; import</v>
      </c>
      <c r="I8" s="44"/>
    </row>
    <row r="9" spans="1:12" s="4" customFormat="1" ht="15.75" thickBot="1">
      <c r="A9" s="169" t="s">
        <v>13</v>
      </c>
      <c r="B9" s="170" t="str">
        <f>B2</f>
        <v>El Salvador</v>
      </c>
      <c r="C9" s="170">
        <v>8.5136370370919326E-2</v>
      </c>
      <c r="D9" s="230">
        <f>E9*C9</f>
        <v>481003.46532161999</v>
      </c>
      <c r="E9" s="171">
        <v>5649800</v>
      </c>
      <c r="F9" s="170">
        <f>F11/E11</f>
        <v>9.0170228957257056E-2</v>
      </c>
      <c r="G9" s="151">
        <f>E9-B13+B12</f>
        <v>5735358</v>
      </c>
      <c r="H9" s="152">
        <f>G11/G9</f>
        <v>9.0256409205219351E-2</v>
      </c>
      <c r="I9" s="43"/>
    </row>
    <row r="10" spans="1:12" ht="30">
      <c r="A10" s="133" t="str">
        <f>A3</f>
        <v>Import  Guatemala</v>
      </c>
      <c r="B10" s="103">
        <v>117737</v>
      </c>
      <c r="C10" s="280">
        <f>Guatemala!C9</f>
        <v>0.20669961036147425</v>
      </c>
      <c r="D10" s="284">
        <f>C10*B10</f>
        <v>24336.192025128894</v>
      </c>
      <c r="E10" s="193" t="str">
        <f>E3</f>
        <v>Generation + Imports</v>
      </c>
      <c r="F10" s="193" t="str">
        <f>F3</f>
        <v>Tons CO2 + imports</v>
      </c>
      <c r="G10" s="117" t="s">
        <v>30</v>
      </c>
      <c r="H10" s="78"/>
      <c r="I10" s="45"/>
      <c r="J10" s="16"/>
    </row>
    <row r="11" spans="1:12">
      <c r="A11" s="113" t="str">
        <f>A4</f>
        <v>Honduras</v>
      </c>
      <c r="B11" s="97">
        <v>66011</v>
      </c>
      <c r="C11" s="281">
        <f>Honduras!C9</f>
        <v>0.31317055409553146</v>
      </c>
      <c r="D11" s="267">
        <f>C11*B11</f>
        <v>20672.701446400126</v>
      </c>
      <c r="E11" s="226">
        <f>E9+B12</f>
        <v>5833548</v>
      </c>
      <c r="F11" s="226">
        <f>D9+D12</f>
        <v>526012.358793149</v>
      </c>
      <c r="G11" s="107">
        <f>F11-D13</f>
        <v>517652.81858642842</v>
      </c>
      <c r="H11" s="78"/>
      <c r="I11" s="45"/>
      <c r="J11" s="16"/>
    </row>
    <row r="12" spans="1:12">
      <c r="A12" s="113" t="s">
        <v>15</v>
      </c>
      <c r="B12" s="97">
        <f>SUM(B10:B11)</f>
        <v>183748</v>
      </c>
      <c r="C12" s="282">
        <f>D12/B12</f>
        <v>0.24494902514056766</v>
      </c>
      <c r="D12" s="267">
        <f>SUM(D10:D11)</f>
        <v>45008.893471529023</v>
      </c>
      <c r="E12" s="9"/>
      <c r="F12" s="17"/>
      <c r="G12" s="17"/>
      <c r="H12" s="18"/>
      <c r="I12" s="45"/>
      <c r="J12" s="16"/>
    </row>
    <row r="13" spans="1:12" ht="15.75" thickBot="1">
      <c r="A13" s="56" t="str">
        <f>A6</f>
        <v>Export</v>
      </c>
      <c r="B13" s="100">
        <f>98029+161</f>
        <v>98190</v>
      </c>
      <c r="C13" s="69">
        <f>C9</f>
        <v>8.5136370370919326E-2</v>
      </c>
      <c r="D13" s="285">
        <f>C13*B13</f>
        <v>8359.5402067205687</v>
      </c>
      <c r="E13" s="12"/>
      <c r="F13" s="19"/>
      <c r="G13" s="19"/>
      <c r="H13" s="20"/>
      <c r="I13" s="45"/>
      <c r="J13" s="16"/>
    </row>
    <row r="14" spans="1:12" ht="15.75" thickBot="1">
      <c r="A14" s="16"/>
      <c r="B14" s="16"/>
      <c r="C14" s="16"/>
      <c r="D14" s="16"/>
      <c r="E14" s="16"/>
      <c r="F14" s="16"/>
      <c r="G14" s="16"/>
      <c r="H14" s="21"/>
      <c r="I14" s="21"/>
      <c r="J14" s="16"/>
    </row>
    <row r="15" spans="1:12" s="4" customFormat="1" ht="30" customHeight="1">
      <c r="A15" s="110">
        <v>2009</v>
      </c>
      <c r="B15" s="177" t="str">
        <f>B8</f>
        <v>Import - Export MWh</v>
      </c>
      <c r="C15" s="180" t="s">
        <v>14</v>
      </c>
      <c r="D15" s="177" t="str">
        <f>D8</f>
        <v>Tons CO2</v>
      </c>
      <c r="E15" s="177" t="str">
        <f>E1</f>
        <v>Generation in country MWh</v>
      </c>
      <c r="F15" s="181" t="s">
        <v>16</v>
      </c>
      <c r="G15" s="178" t="str">
        <f>G8</f>
        <v>Generation - export + import</v>
      </c>
      <c r="H15" s="179" t="str">
        <f>H8</f>
        <v>GEF export &amp; import</v>
      </c>
      <c r="I15" s="44"/>
    </row>
    <row r="16" spans="1:12" ht="15.75" thickBot="1">
      <c r="A16" s="149" t="s">
        <v>13</v>
      </c>
      <c r="B16" s="150" t="str">
        <f>B2</f>
        <v>El Salvador</v>
      </c>
      <c r="C16" s="150">
        <v>0.12150173612738892</v>
      </c>
      <c r="D16" s="164">
        <f>E16*C16</f>
        <v>661564.80304001993</v>
      </c>
      <c r="E16" s="164">
        <v>5444900</v>
      </c>
      <c r="F16" s="150">
        <f>F18/E18</f>
        <v>0.12776180205788681</v>
      </c>
      <c r="G16" s="151">
        <f>E16-B20+B19</f>
        <v>5574922</v>
      </c>
      <c r="H16" s="152">
        <f>G18/G16</f>
        <v>0.12781357998412887</v>
      </c>
      <c r="I16" s="45"/>
      <c r="J16" s="16"/>
    </row>
    <row r="17" spans="1:10" ht="30">
      <c r="A17" s="133" t="str">
        <f>A3</f>
        <v>Import  Guatemala</v>
      </c>
      <c r="B17" s="103">
        <v>81979</v>
      </c>
      <c r="C17" s="280">
        <f>Guatemala!C16</f>
        <v>0.31579601604911672</v>
      </c>
      <c r="D17" s="159">
        <f>C17*B17</f>
        <v>25888.641599690542</v>
      </c>
      <c r="E17" s="286" t="str">
        <f>E10</f>
        <v>Generation + Imports</v>
      </c>
      <c r="F17" s="286" t="str">
        <f>F10</f>
        <v>Tons CO2 + imports</v>
      </c>
      <c r="G17" s="287" t="s">
        <v>30</v>
      </c>
      <c r="H17" s="78"/>
      <c r="I17" s="45"/>
      <c r="J17" s="16"/>
    </row>
    <row r="18" spans="1:10">
      <c r="A18" s="113" t="str">
        <f>A4</f>
        <v>Honduras</v>
      </c>
      <c r="B18" s="97">
        <v>94154</v>
      </c>
      <c r="C18" s="281">
        <f>Honduras!C16</f>
        <v>0.32606008100706435</v>
      </c>
      <c r="D18" s="71">
        <f>C18*B18</f>
        <v>30699.860867139138</v>
      </c>
      <c r="E18" s="288">
        <f>E16+B19</f>
        <v>5621033</v>
      </c>
      <c r="F18" s="288">
        <f>D16+D19</f>
        <v>718153.30550684966</v>
      </c>
      <c r="G18" s="70">
        <f>F18-D20</f>
        <v>712550.73895227967</v>
      </c>
      <c r="H18" s="78"/>
      <c r="I18" s="45"/>
      <c r="J18" s="16"/>
    </row>
    <row r="19" spans="1:10">
      <c r="A19" s="113" t="s">
        <v>15</v>
      </c>
      <c r="B19" s="97">
        <f>SUM(B17:B18)</f>
        <v>176133</v>
      </c>
      <c r="C19" s="282">
        <f>D19/B19</f>
        <v>0.32128279463149828</v>
      </c>
      <c r="D19" s="71">
        <f>SUM(D17:D18)</f>
        <v>56588.502466829683</v>
      </c>
      <c r="E19" s="289"/>
      <c r="F19" s="290"/>
      <c r="G19" s="290"/>
      <c r="H19" s="18"/>
      <c r="I19" s="174"/>
      <c r="J19" s="16"/>
    </row>
    <row r="20" spans="1:10" ht="15.75" thickBot="1">
      <c r="A20" s="56" t="str">
        <f>A13</f>
        <v>Export</v>
      </c>
      <c r="B20" s="100">
        <f>13561+32550</f>
        <v>46111</v>
      </c>
      <c r="C20" s="69">
        <f>C16</f>
        <v>0.12150173612738892</v>
      </c>
      <c r="D20" s="283">
        <f>C20*B20</f>
        <v>5602.5665545700303</v>
      </c>
      <c r="E20" s="291"/>
      <c r="F20" s="292"/>
      <c r="G20" s="292"/>
      <c r="H20" s="20"/>
      <c r="I20" s="45"/>
      <c r="J20" s="16"/>
    </row>
    <row r="21" spans="1:10" ht="15.75" thickBot="1"/>
    <row r="22" spans="1:10" ht="15.75" thickBot="1">
      <c r="A22" s="140" t="s">
        <v>24</v>
      </c>
      <c r="B22" s="141"/>
      <c r="C22" s="142"/>
      <c r="D22" s="143">
        <f>(C16+C9+C2)/3</f>
        <v>9.747766626202263E-2</v>
      </c>
    </row>
    <row r="23" spans="1:10" ht="15.75" thickBot="1">
      <c r="A23" s="140" t="s">
        <v>25</v>
      </c>
      <c r="B23" s="141"/>
      <c r="C23" s="142"/>
      <c r="D23" s="144">
        <f>(F16+F9+F2)/3</f>
        <v>0.10318539218095518</v>
      </c>
    </row>
    <row r="24" spans="1:10" ht="15.75" thickBot="1">
      <c r="A24" s="145" t="s">
        <v>35</v>
      </c>
      <c r="B24" s="146"/>
      <c r="C24" s="146"/>
      <c r="D24" s="147">
        <f>(H16+H9+H2)/3</f>
        <v>0.10326566831605399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J1" sqref="J1:K4"/>
    </sheetView>
  </sheetViews>
  <sheetFormatPr defaultRowHeight="15"/>
  <cols>
    <col min="1" max="1" width="17.140625" style="2" customWidth="1"/>
    <col min="2" max="2" width="13.28515625" style="2" customWidth="1"/>
    <col min="3" max="3" width="12.28515625" style="2" customWidth="1"/>
    <col min="4" max="4" width="13" style="340" customWidth="1"/>
    <col min="5" max="5" width="15.85546875" style="202" customWidth="1"/>
    <col min="6" max="6" width="14" style="2" customWidth="1"/>
    <col min="7" max="7" width="15.7109375" style="2" customWidth="1"/>
    <col min="8" max="8" width="15" style="2" customWidth="1"/>
    <col min="9" max="9" width="22" style="2" customWidth="1"/>
    <col min="10" max="10" width="21.28515625" style="2" customWidth="1"/>
    <col min="11" max="11" width="18.5703125" style="2" customWidth="1"/>
    <col min="12" max="16384" width="9.140625" style="2"/>
  </cols>
  <sheetData>
    <row r="1" spans="1:11" ht="31.5" customHeight="1">
      <c r="A1" s="184">
        <v>2011</v>
      </c>
      <c r="B1" s="177" t="s">
        <v>38</v>
      </c>
      <c r="C1" s="180" t="s">
        <v>14</v>
      </c>
      <c r="D1" s="337" t="s">
        <v>20</v>
      </c>
      <c r="E1" s="198" t="s">
        <v>31</v>
      </c>
      <c r="F1" s="181" t="s">
        <v>16</v>
      </c>
      <c r="G1" s="111" t="s">
        <v>41</v>
      </c>
      <c r="H1" s="112" t="s">
        <v>33</v>
      </c>
      <c r="J1" s="48"/>
      <c r="K1" s="2" t="s">
        <v>64</v>
      </c>
    </row>
    <row r="2" spans="1:11" ht="15.75" thickBot="1">
      <c r="A2" s="185" t="s">
        <v>34</v>
      </c>
      <c r="B2" s="186" t="s">
        <v>2</v>
      </c>
      <c r="C2" s="211">
        <v>0.20307891464560171</v>
      </c>
      <c r="D2" s="297">
        <f>E2*C2</f>
        <v>1654396.5936844195</v>
      </c>
      <c r="E2" s="195">
        <v>8146570</v>
      </c>
      <c r="F2" s="211">
        <f>F4/E4</f>
        <v>0.20369922681609764</v>
      </c>
      <c r="G2" s="109">
        <f>E2-B6+B3</f>
        <v>7993786</v>
      </c>
      <c r="H2" s="168">
        <f>G4/G2</f>
        <v>0.21635408027880634</v>
      </c>
      <c r="J2" s="37" t="s">
        <v>65</v>
      </c>
      <c r="K2" s="349">
        <f>(D2+D9+D16)/3</f>
        <v>1912187.2989631065</v>
      </c>
    </row>
    <row r="3" spans="1:11" ht="30">
      <c r="A3" s="133" t="s">
        <v>43</v>
      </c>
      <c r="B3" s="97">
        <v>73</v>
      </c>
      <c r="C3" s="66">
        <v>8.5794892287759647E-2</v>
      </c>
      <c r="D3" s="71">
        <f>C3*B3</f>
        <v>6.2630271370064543</v>
      </c>
      <c r="E3" s="194" t="s">
        <v>32</v>
      </c>
      <c r="F3" s="183" t="s">
        <v>40</v>
      </c>
      <c r="G3" s="165" t="s">
        <v>30</v>
      </c>
      <c r="H3" s="154"/>
      <c r="I3" s="48"/>
      <c r="J3" s="2" t="s">
        <v>66</v>
      </c>
      <c r="K3" s="2">
        <f>(F4+F11+F18)/3</f>
        <v>1974305.3348670762</v>
      </c>
    </row>
    <row r="4" spans="1:11">
      <c r="A4" s="346" t="s">
        <v>55</v>
      </c>
      <c r="B4" s="86">
        <v>496150</v>
      </c>
      <c r="C4" s="65">
        <f>Mexico!C2</f>
        <v>0.2139018339615531</v>
      </c>
      <c r="D4" s="336">
        <f>C4*B4</f>
        <v>106127.39492002457</v>
      </c>
      <c r="E4" s="199">
        <f>E2+B5</f>
        <v>8642793</v>
      </c>
      <c r="F4" s="197">
        <f>D2+D5</f>
        <v>1760530.251631581</v>
      </c>
      <c r="G4" s="107">
        <f>D2+D5-D6</f>
        <v>1729488.2179755983</v>
      </c>
      <c r="H4" s="154"/>
      <c r="I4" s="48"/>
      <c r="J4" s="2" t="s">
        <v>67</v>
      </c>
      <c r="K4" s="2">
        <f>(G4+G11+G18)/3</f>
        <v>1946112.6031874784</v>
      </c>
    </row>
    <row r="5" spans="1:11">
      <c r="A5" s="346" t="s">
        <v>15</v>
      </c>
      <c r="B5" s="312">
        <f>B3+B4</f>
        <v>496223</v>
      </c>
      <c r="C5" s="341">
        <f>(C3+C4)/2</f>
        <v>0.14984836312465638</v>
      </c>
      <c r="D5" s="336">
        <f>D4+D3</f>
        <v>106133.65794716157</v>
      </c>
      <c r="E5" s="311"/>
      <c r="F5" s="306"/>
      <c r="G5" s="307"/>
      <c r="H5" s="154"/>
      <c r="I5" s="48"/>
    </row>
    <row r="6" spans="1:11" ht="15.75" thickBot="1">
      <c r="A6" s="191" t="s">
        <v>28</v>
      </c>
      <c r="B6" s="195">
        <f>152857</f>
        <v>152857</v>
      </c>
      <c r="C6" s="203">
        <f>C2</f>
        <v>0.20307891464560171</v>
      </c>
      <c r="D6" s="297">
        <f>C6*B6</f>
        <v>31042.033655982741</v>
      </c>
      <c r="E6" s="200"/>
      <c r="F6" s="38"/>
      <c r="G6" s="38"/>
      <c r="H6" s="39"/>
      <c r="I6" s="48"/>
    </row>
    <row r="7" spans="1:11" ht="15.75" thickBot="1">
      <c r="A7" s="6"/>
      <c r="B7" s="6"/>
      <c r="C7" s="6"/>
      <c r="D7" s="338"/>
      <c r="E7" s="88"/>
      <c r="F7" s="37"/>
      <c r="G7" s="37"/>
      <c r="H7" s="48"/>
      <c r="I7" s="40"/>
    </row>
    <row r="8" spans="1:11" ht="34.5" customHeight="1">
      <c r="A8" s="184">
        <v>2010</v>
      </c>
      <c r="B8" s="177" t="str">
        <f>B1</f>
        <v>Import Export MWh</v>
      </c>
      <c r="C8" s="180" t="s">
        <v>14</v>
      </c>
      <c r="D8" s="337" t="s">
        <v>20</v>
      </c>
      <c r="E8" s="198" t="s">
        <v>31</v>
      </c>
      <c r="F8" s="181" t="s">
        <v>16</v>
      </c>
      <c r="G8" s="111" t="str">
        <f>G1</f>
        <v>Generation - export + import</v>
      </c>
      <c r="H8" s="112" t="s">
        <v>33</v>
      </c>
      <c r="I8" s="42"/>
    </row>
    <row r="9" spans="1:11" ht="15.75" thickBot="1">
      <c r="A9" s="185" t="str">
        <f>A2</f>
        <v>Country</v>
      </c>
      <c r="B9" s="186" t="str">
        <f>B2</f>
        <v>Guatemala</v>
      </c>
      <c r="C9" s="211">
        <v>0.20669961036147425</v>
      </c>
      <c r="D9" s="297">
        <f>E9*C9</f>
        <v>1635839.3193656397</v>
      </c>
      <c r="E9" s="195">
        <v>7914090</v>
      </c>
      <c r="F9" s="211">
        <f>F11/E11</f>
        <v>0.20685101127866642</v>
      </c>
      <c r="G9" s="109">
        <f>E9-B13+B12</f>
        <v>8134144</v>
      </c>
      <c r="H9" s="168">
        <f>G11/G9</f>
        <v>0.20685350089926827</v>
      </c>
    </row>
    <row r="10" spans="1:11" ht="30">
      <c r="A10" s="133" t="str">
        <f>A3</f>
        <v>Import   El Salvador</v>
      </c>
      <c r="B10" s="8">
        <v>161</v>
      </c>
      <c r="C10" s="66">
        <v>8.5136370370919326E-2</v>
      </c>
      <c r="D10" s="339">
        <f>C10*B10</f>
        <v>13.706955629718012</v>
      </c>
      <c r="E10" s="194" t="str">
        <f>E3</f>
        <v>Generation + Imports</v>
      </c>
      <c r="F10" s="183" t="str">
        <f>F3</f>
        <v>Tons CO2 + imports</v>
      </c>
      <c r="G10" s="165" t="s">
        <v>30</v>
      </c>
      <c r="H10" s="154"/>
    </row>
    <row r="11" spans="1:11">
      <c r="A11" s="113" t="str">
        <f>A4</f>
        <v>Mexico</v>
      </c>
      <c r="B11" s="236">
        <v>353650</v>
      </c>
      <c r="C11" s="204">
        <f>Mexico!C9</f>
        <v>0.21029451910258146</v>
      </c>
      <c r="D11" s="336">
        <f>C11*B11</f>
        <v>74370.65668062793</v>
      </c>
      <c r="E11" s="199">
        <f>E9+B12</f>
        <v>8267901</v>
      </c>
      <c r="F11" s="197">
        <f>D9+D12</f>
        <v>1710223.6830018973</v>
      </c>
      <c r="G11" s="107">
        <f>D9+D12-D13</f>
        <v>1682576.1632187776</v>
      </c>
      <c r="H11" s="154"/>
      <c r="I11" s="48"/>
    </row>
    <row r="12" spans="1:11">
      <c r="A12" s="308" t="str">
        <f>A5</f>
        <v>Total / Average</v>
      </c>
      <c r="B12" s="312">
        <f>B10+B11</f>
        <v>353811</v>
      </c>
      <c r="C12" s="341">
        <f>(C10+C11)/2</f>
        <v>0.14771544473675038</v>
      </c>
      <c r="D12" s="336">
        <f>D11+D10</f>
        <v>74384.363636257651</v>
      </c>
      <c r="E12" s="201"/>
      <c r="F12" s="306"/>
      <c r="G12" s="307"/>
      <c r="H12" s="154"/>
      <c r="I12" s="48"/>
    </row>
    <row r="13" spans="1:11" ht="15.75" thickBot="1">
      <c r="A13" s="191" t="s">
        <v>28</v>
      </c>
      <c r="B13" s="87">
        <f>117737+16020</f>
        <v>133757</v>
      </c>
      <c r="C13" s="67">
        <f>C9</f>
        <v>0.20669961036147425</v>
      </c>
      <c r="D13" s="297">
        <f>C13*B13</f>
        <v>27647.519783119711</v>
      </c>
      <c r="E13" s="200"/>
      <c r="F13" s="38"/>
      <c r="G13" s="38"/>
      <c r="H13" s="39"/>
      <c r="I13" s="48"/>
    </row>
    <row r="14" spans="1:11" ht="15.75" thickBot="1">
      <c r="A14" s="37"/>
      <c r="B14" s="201"/>
      <c r="C14" s="37"/>
      <c r="D14" s="306"/>
      <c r="E14" s="201"/>
      <c r="F14" s="37"/>
      <c r="G14" s="37"/>
      <c r="H14" s="48"/>
      <c r="I14" s="40"/>
    </row>
    <row r="15" spans="1:11" ht="35.25" customHeight="1">
      <c r="A15" s="184">
        <v>2009</v>
      </c>
      <c r="B15" s="198" t="str">
        <f>B8</f>
        <v>Import Export MWh</v>
      </c>
      <c r="C15" s="180" t="s">
        <v>14</v>
      </c>
      <c r="D15" s="337" t="s">
        <v>20</v>
      </c>
      <c r="E15" s="198" t="s">
        <v>31</v>
      </c>
      <c r="F15" s="181" t="s">
        <v>16</v>
      </c>
      <c r="G15" s="111" t="str">
        <f>G8</f>
        <v>Generation - export + import</v>
      </c>
      <c r="H15" s="112" t="s">
        <v>33</v>
      </c>
      <c r="I15" s="42"/>
    </row>
    <row r="16" spans="1:11" ht="15.75" thickBot="1">
      <c r="A16" s="185" t="str">
        <f>A9</f>
        <v>Country</v>
      </c>
      <c r="B16" s="235" t="str">
        <f>B2</f>
        <v>Guatemala</v>
      </c>
      <c r="C16" s="211">
        <v>0.31579601604911672</v>
      </c>
      <c r="D16" s="297">
        <f>E16*C16</f>
        <v>2446325.9838392599</v>
      </c>
      <c r="E16" s="195">
        <v>7746538.46</v>
      </c>
      <c r="F16" s="211">
        <f>F18/E18</f>
        <v>0.31522846640842289</v>
      </c>
      <c r="G16" s="109">
        <f>E16-B20+B19</f>
        <v>7697020.46</v>
      </c>
      <c r="H16" s="168">
        <f>G18/G16</f>
        <v>0.31522242158208574</v>
      </c>
      <c r="I16" s="48"/>
    </row>
    <row r="17" spans="1:9" ht="30">
      <c r="A17" s="314" t="str">
        <f>A10</f>
        <v>Import   El Salvador</v>
      </c>
      <c r="B17" s="317">
        <v>13561</v>
      </c>
      <c r="C17" s="318">
        <v>0.12150173612738892</v>
      </c>
      <c r="D17" s="339">
        <f>C17*B17</f>
        <v>1647.6850436235211</v>
      </c>
      <c r="E17" s="194" t="str">
        <f>E10</f>
        <v>Generation + Imports</v>
      </c>
      <c r="F17" s="183" t="str">
        <f>F10</f>
        <v>Tons CO2 + imports</v>
      </c>
      <c r="G17" s="165" t="s">
        <v>30</v>
      </c>
      <c r="H17" s="154"/>
      <c r="I17" s="48"/>
    </row>
    <row r="18" spans="1:9">
      <c r="A18" s="346" t="str">
        <f>A11</f>
        <v>Mexico</v>
      </c>
      <c r="B18" s="199">
        <v>18900</v>
      </c>
      <c r="C18" s="341">
        <f>Mexico!C16</f>
        <v>0.22160852300881206</v>
      </c>
      <c r="D18" s="339">
        <f>C18*B18</f>
        <v>4188.4010848665484</v>
      </c>
      <c r="E18" s="313">
        <f>E16+B19</f>
        <v>7778999.46</v>
      </c>
      <c r="F18" s="197">
        <f>D16+D19</f>
        <v>2452162.06996775</v>
      </c>
      <c r="G18" s="107">
        <f>D16+D19-D20</f>
        <v>2426273.4283680595</v>
      </c>
      <c r="H18" s="154"/>
      <c r="I18" s="48"/>
    </row>
    <row r="19" spans="1:9">
      <c r="A19" s="346" t="str">
        <f>A12</f>
        <v>Total / Average</v>
      </c>
      <c r="B19" s="312">
        <f>B17+B18</f>
        <v>32461</v>
      </c>
      <c r="C19" s="341">
        <f>(C17+C18)/2</f>
        <v>0.17155512956810048</v>
      </c>
      <c r="D19" s="348">
        <f>D18+D17</f>
        <v>5836.0861284900693</v>
      </c>
      <c r="E19" s="201"/>
      <c r="F19" s="306"/>
      <c r="G19" s="307"/>
      <c r="H19" s="154"/>
      <c r="I19" s="48"/>
    </row>
    <row r="20" spans="1:9" ht="15.75" thickBot="1">
      <c r="A20" s="315" t="str">
        <f>A13</f>
        <v>Export</v>
      </c>
      <c r="B20" s="316">
        <v>81979</v>
      </c>
      <c r="C20" s="347">
        <f>C16</f>
        <v>0.31579601604911672</v>
      </c>
      <c r="D20" s="297">
        <f>C20*B20</f>
        <v>25888.641599690542</v>
      </c>
      <c r="E20" s="200"/>
      <c r="F20" s="38"/>
      <c r="G20" s="38"/>
      <c r="H20" s="192"/>
    </row>
    <row r="21" spans="1:9" ht="15.75" thickBot="1">
      <c r="A21" s="37"/>
      <c r="B21" s="37"/>
      <c r="C21" s="37"/>
      <c r="D21" s="306"/>
      <c r="E21" s="201"/>
      <c r="F21" s="37"/>
      <c r="G21" s="37"/>
      <c r="H21" s="37"/>
    </row>
    <row r="22" spans="1:9" ht="15.75" thickBot="1">
      <c r="A22" s="140" t="s">
        <v>24</v>
      </c>
      <c r="B22" s="146"/>
      <c r="C22" s="142"/>
      <c r="D22" s="342">
        <f>(C16+C9+C2)/3</f>
        <v>0.24185818035206422</v>
      </c>
      <c r="E22" s="201"/>
      <c r="F22" s="37"/>
      <c r="G22" s="37"/>
      <c r="H22" s="37"/>
    </row>
    <row r="23" spans="1:9" ht="15.75" thickBot="1">
      <c r="A23" s="190" t="s">
        <v>25</v>
      </c>
      <c r="B23" s="188"/>
      <c r="C23" s="189"/>
      <c r="D23" s="343">
        <f>(F16+F9+F2)/3</f>
        <v>0.24192623483439565</v>
      </c>
      <c r="E23" s="201"/>
      <c r="F23" s="37"/>
      <c r="G23" s="37"/>
      <c r="H23" s="37"/>
    </row>
    <row r="24" spans="1:9" ht="15.75" thickBot="1">
      <c r="A24" s="187" t="s">
        <v>35</v>
      </c>
      <c r="B24" s="188"/>
      <c r="C24" s="189"/>
      <c r="D24" s="344">
        <f>(H16+H9+H2)/3</f>
        <v>0.24614333425338678</v>
      </c>
      <c r="E24" s="201"/>
      <c r="F24" s="37"/>
      <c r="G24" s="37"/>
      <c r="H24" s="37"/>
    </row>
    <row r="25" spans="1:9">
      <c r="A25" s="37"/>
      <c r="B25" s="37"/>
      <c r="C25" s="37"/>
      <c r="D25" s="306"/>
      <c r="E25" s="201"/>
      <c r="F25" s="37"/>
      <c r="G25" s="37"/>
      <c r="H25" s="37"/>
    </row>
    <row r="26" spans="1:9">
      <c r="A26" s="37"/>
      <c r="B26" s="37"/>
      <c r="C26" s="37"/>
      <c r="D26" s="306"/>
      <c r="E26" s="201"/>
      <c r="F26" s="37"/>
      <c r="G26" s="37"/>
      <c r="H26" s="37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K2" sqref="K2"/>
    </sheetView>
  </sheetViews>
  <sheetFormatPr defaultRowHeight="15"/>
  <cols>
    <col min="1" max="1" width="17.85546875" customWidth="1"/>
    <col min="2" max="2" width="14.28515625" style="16" customWidth="1"/>
    <col min="3" max="3" width="13.85546875" customWidth="1"/>
    <col min="4" max="4" width="14" customWidth="1"/>
    <col min="5" max="5" width="13.28515625" customWidth="1"/>
    <col min="6" max="6" width="13.7109375" customWidth="1"/>
    <col min="7" max="7" width="14.85546875" customWidth="1"/>
    <col min="8" max="8" width="15.28515625" customWidth="1"/>
    <col min="9" max="9" width="26.42578125" customWidth="1"/>
    <col min="10" max="12" width="17.140625" customWidth="1"/>
    <col min="13" max="13" width="16.85546875" customWidth="1"/>
    <col min="14" max="14" width="20.140625" customWidth="1"/>
    <col min="15" max="16" width="16.5703125" customWidth="1"/>
    <col min="17" max="17" width="16.85546875" customWidth="1"/>
    <col min="18" max="18" width="22.140625" customWidth="1"/>
    <col min="19" max="19" width="25" customWidth="1"/>
  </cols>
  <sheetData>
    <row r="1" spans="1:11" ht="30.75" customHeight="1">
      <c r="A1" s="110">
        <v>2011</v>
      </c>
      <c r="B1" s="55" t="s">
        <v>36</v>
      </c>
      <c r="C1" s="172" t="s">
        <v>14</v>
      </c>
      <c r="D1" s="55" t="s">
        <v>39</v>
      </c>
      <c r="E1" s="55" t="s">
        <v>31</v>
      </c>
      <c r="F1" s="173" t="s">
        <v>16</v>
      </c>
      <c r="G1" s="178" t="s">
        <v>41</v>
      </c>
      <c r="H1" s="179" t="s">
        <v>33</v>
      </c>
      <c r="J1" s="48"/>
      <c r="K1" s="2" t="s">
        <v>64</v>
      </c>
    </row>
    <row r="2" spans="1:11" s="16" customFormat="1" ht="16.5" customHeight="1" thickBot="1">
      <c r="A2" s="169" t="s">
        <v>34</v>
      </c>
      <c r="B2" s="170" t="s">
        <v>3</v>
      </c>
      <c r="C2" s="150">
        <v>0.34322105790381729</v>
      </c>
      <c r="D2" s="229">
        <f>E2*C2</f>
        <v>2460792.018852999</v>
      </c>
      <c r="E2" s="229">
        <v>7169700</v>
      </c>
      <c r="F2" s="170">
        <f>F4/E4</f>
        <v>0.34066156200020625</v>
      </c>
      <c r="G2" s="109">
        <f>E2-B6+B5</f>
        <v>7213810</v>
      </c>
      <c r="H2" s="168">
        <f>G4/G2</f>
        <v>0.3406164943134814</v>
      </c>
      <c r="J2" s="37" t="s">
        <v>65</v>
      </c>
      <c r="K2" s="202">
        <f>(D2+D9+D16)/3</f>
        <v>2245262.6246989327</v>
      </c>
    </row>
    <row r="3" spans="1:11" ht="30" customHeight="1">
      <c r="A3" s="209" t="s">
        <v>43</v>
      </c>
      <c r="B3" s="223">
        <v>103046</v>
      </c>
      <c r="C3" s="62">
        <f>'El Salvador'!C2</f>
        <v>8.5794892287759647E-2</v>
      </c>
      <c r="D3" s="221">
        <f>C3*B3</f>
        <v>8840.8204706844808</v>
      </c>
      <c r="E3" s="116" t="s">
        <v>32</v>
      </c>
      <c r="F3" s="116" t="s">
        <v>40</v>
      </c>
      <c r="G3" s="165" t="s">
        <v>30</v>
      </c>
      <c r="H3" s="154"/>
      <c r="I3" s="4"/>
      <c r="J3" s="2" t="s">
        <v>66</v>
      </c>
      <c r="K3" s="202">
        <f>(F4+F11+F18)/3</f>
        <v>2280156.5611316902</v>
      </c>
    </row>
    <row r="4" spans="1:11">
      <c r="A4" s="207" t="s">
        <v>4</v>
      </c>
      <c r="B4" s="224">
        <v>68085</v>
      </c>
      <c r="C4" s="1">
        <f>Nicaragua!C2</f>
        <v>0.45687178550125113</v>
      </c>
      <c r="D4" s="222">
        <f>C4*B4</f>
        <v>31106.115515852682</v>
      </c>
      <c r="E4" s="227">
        <f>E2+B5</f>
        <v>7340831</v>
      </c>
      <c r="F4" s="227">
        <f>D2+D5</f>
        <v>2500738.954839536</v>
      </c>
      <c r="G4" s="107">
        <f>F4-D6</f>
        <v>2457142.6728435354</v>
      </c>
      <c r="H4" s="154"/>
      <c r="I4" s="4"/>
      <c r="J4" s="2" t="s">
        <v>67</v>
      </c>
      <c r="K4" s="202">
        <f>(G4+G11+G18)/3</f>
        <v>2235086.6708636275</v>
      </c>
    </row>
    <row r="5" spans="1:11">
      <c r="A5" s="207" t="s">
        <v>15</v>
      </c>
      <c r="B5" s="224">
        <f>SUM(B3:B4)</f>
        <v>171131</v>
      </c>
      <c r="C5" s="25">
        <f>D5/B5</f>
        <v>0.23342898707152512</v>
      </c>
      <c r="D5" s="222">
        <f>SUM(D3:D4)</f>
        <v>39946.935986537166</v>
      </c>
      <c r="E5" s="22"/>
      <c r="F5" s="23"/>
      <c r="G5" s="23"/>
      <c r="H5" s="24"/>
      <c r="I5" s="4"/>
      <c r="J5" s="30"/>
    </row>
    <row r="6" spans="1:11" ht="15.75" thickBot="1">
      <c r="A6" s="210" t="s">
        <v>28</v>
      </c>
      <c r="B6" s="225">
        <f>62009+65012</f>
        <v>127021</v>
      </c>
      <c r="C6" s="68">
        <f>C2</f>
        <v>0.34322105790381729</v>
      </c>
      <c r="D6" s="72">
        <f>C6*B6</f>
        <v>43596.281996000776</v>
      </c>
      <c r="E6" s="26"/>
      <c r="F6" s="27"/>
      <c r="G6" s="27"/>
      <c r="H6" s="28"/>
      <c r="I6" s="4"/>
      <c r="J6" s="30"/>
    </row>
    <row r="7" spans="1:11" ht="15.75" thickBot="1">
      <c r="A7" s="22"/>
      <c r="B7" s="22"/>
      <c r="C7" s="3"/>
      <c r="D7" s="3"/>
      <c r="E7" s="22"/>
      <c r="F7" s="23"/>
      <c r="G7" s="23"/>
      <c r="H7" s="43"/>
      <c r="I7" s="4"/>
      <c r="J7" s="30"/>
    </row>
    <row r="8" spans="1:11" ht="30.75" customHeight="1">
      <c r="A8" s="110">
        <v>2010</v>
      </c>
      <c r="B8" s="55" t="str">
        <f>B1</f>
        <v>Import - Export MWh</v>
      </c>
      <c r="C8" s="172" t="s">
        <v>14</v>
      </c>
      <c r="D8" s="55" t="str">
        <f>D1</f>
        <v>Tons CO2</v>
      </c>
      <c r="E8" s="55" t="str">
        <f>E1</f>
        <v>Generation in country MWh</v>
      </c>
      <c r="F8" s="173" t="s">
        <v>16</v>
      </c>
      <c r="G8" s="178" t="s">
        <v>41</v>
      </c>
      <c r="H8" s="179" t="s">
        <v>33</v>
      </c>
      <c r="I8" s="4"/>
      <c r="J8" s="30"/>
    </row>
    <row r="9" spans="1:11" ht="15.75" thickBot="1">
      <c r="A9" s="169" t="str">
        <f>A2</f>
        <v>Country</v>
      </c>
      <c r="B9" s="170" t="str">
        <f>B2</f>
        <v>Honduras</v>
      </c>
      <c r="C9" s="212">
        <v>0.31317055409553146</v>
      </c>
      <c r="D9" s="229">
        <f>E9*C9</f>
        <v>2118630.11551168</v>
      </c>
      <c r="E9" s="229">
        <v>6765100</v>
      </c>
      <c r="F9" s="170">
        <f>F11/E11</f>
        <v>0.31069583970802528</v>
      </c>
      <c r="G9" s="109">
        <f>E9-B13+B12</f>
        <v>6773985</v>
      </c>
      <c r="H9" s="168">
        <f>G11/G9</f>
        <v>0.31064054685278902</v>
      </c>
      <c r="I9" s="4"/>
      <c r="J9" s="32"/>
    </row>
    <row r="10" spans="1:11" ht="29.25" customHeight="1">
      <c r="A10" s="209" t="str">
        <f>A3</f>
        <v>Import   El Salvador</v>
      </c>
      <c r="B10" s="223">
        <v>98029</v>
      </c>
      <c r="C10" s="62">
        <f>'El Salvador'!C9</f>
        <v>8.5136370370919326E-2</v>
      </c>
      <c r="D10" s="221">
        <f>C10*B10</f>
        <v>8345.8332510908513</v>
      </c>
      <c r="E10" s="116" t="str">
        <f>E3</f>
        <v>Generation + Imports</v>
      </c>
      <c r="F10" s="116" t="str">
        <f>F3</f>
        <v>Tons CO2 + imports</v>
      </c>
      <c r="G10" s="165" t="s">
        <v>30</v>
      </c>
      <c r="H10" s="154"/>
      <c r="I10" s="4"/>
      <c r="J10" s="32"/>
    </row>
    <row r="11" spans="1:11">
      <c r="A11" s="207" t="str">
        <f>A4</f>
        <v>Nicaragua</v>
      </c>
      <c r="B11" s="224">
        <v>62208</v>
      </c>
      <c r="C11" s="1">
        <f>Nicaragua!C9</f>
        <v>0.39701398073054472</v>
      </c>
      <c r="D11" s="222">
        <f>C11*B11</f>
        <v>24697.445713285728</v>
      </c>
      <c r="E11" s="227">
        <f>E9+B12</f>
        <v>6925337</v>
      </c>
      <c r="F11" s="226">
        <f>D9+D12</f>
        <v>2151673.3944760566</v>
      </c>
      <c r="G11" s="107">
        <f>F11-D13</f>
        <v>2104274.4047725899</v>
      </c>
      <c r="H11" s="154"/>
      <c r="I11" s="4"/>
      <c r="J11" s="32"/>
    </row>
    <row r="12" spans="1:11">
      <c r="A12" s="207" t="s">
        <v>15</v>
      </c>
      <c r="B12" s="224">
        <f>SUM(B10:B11)</f>
        <v>160237</v>
      </c>
      <c r="C12" s="25">
        <f>D12/B12</f>
        <v>0.20621503750305223</v>
      </c>
      <c r="D12" s="222">
        <f>SUM(D10:D11)</f>
        <v>33043.278964376579</v>
      </c>
      <c r="E12" s="22"/>
      <c r="F12" s="23"/>
      <c r="G12" s="23"/>
      <c r="H12" s="24"/>
      <c r="I12" s="4"/>
      <c r="J12" s="32"/>
    </row>
    <row r="13" spans="1:11" ht="15.75" thickBot="1">
      <c r="A13" s="210" t="str">
        <f>A6</f>
        <v>Export</v>
      </c>
      <c r="B13" s="225">
        <f>85341+66011</f>
        <v>151352</v>
      </c>
      <c r="C13" s="68">
        <f>C9</f>
        <v>0.31317055409553146</v>
      </c>
      <c r="D13" s="72">
        <f>C13*B13</f>
        <v>47398.989703466876</v>
      </c>
      <c r="E13" s="26"/>
      <c r="F13" s="27"/>
      <c r="G13" s="27"/>
      <c r="H13" s="28"/>
      <c r="I13" s="4"/>
      <c r="J13" s="32"/>
    </row>
    <row r="14" spans="1:11" ht="15.75" thickBot="1">
      <c r="A14" s="23"/>
      <c r="B14" s="23"/>
      <c r="C14" s="23"/>
      <c r="D14" s="23"/>
      <c r="E14" s="23"/>
      <c r="F14" s="23"/>
      <c r="G14" s="23"/>
      <c r="H14" s="43"/>
      <c r="I14" s="4"/>
      <c r="J14" s="32"/>
    </row>
    <row r="15" spans="1:11" ht="30" customHeight="1">
      <c r="A15" s="110">
        <v>2009</v>
      </c>
      <c r="B15" s="55" t="str">
        <f>B8</f>
        <v>Import - Export MWh</v>
      </c>
      <c r="C15" s="172" t="s">
        <v>14</v>
      </c>
      <c r="D15" s="55" t="str">
        <f>D8</f>
        <v>Tons CO2</v>
      </c>
      <c r="E15" s="55" t="str">
        <f>E8</f>
        <v>Generation in country MWh</v>
      </c>
      <c r="F15" s="173" t="s">
        <v>16</v>
      </c>
      <c r="G15" s="178" t="s">
        <v>41</v>
      </c>
      <c r="H15" s="179" t="s">
        <v>33</v>
      </c>
      <c r="I15" s="4"/>
      <c r="J15" s="32"/>
    </row>
    <row r="16" spans="1:11" ht="15.75" thickBot="1">
      <c r="A16" s="169" t="str">
        <f>A9</f>
        <v>Country</v>
      </c>
      <c r="B16" s="170" t="str">
        <f>B2</f>
        <v>Honduras</v>
      </c>
      <c r="C16" s="212">
        <v>0.32606008100706435</v>
      </c>
      <c r="D16" s="230">
        <f>E16*C16</f>
        <v>2156365.7397321193</v>
      </c>
      <c r="E16" s="171">
        <v>6613400</v>
      </c>
      <c r="F16" s="170">
        <f>F18/E18</f>
        <v>0.32643048429937022</v>
      </c>
      <c r="G16" s="109">
        <f>E16-B20+B19</f>
        <v>6567379</v>
      </c>
      <c r="H16" s="168">
        <f>G18/G16</f>
        <v>0.32643813231652341</v>
      </c>
      <c r="I16" s="4"/>
      <c r="J16" s="32"/>
    </row>
    <row r="17" spans="1:10" ht="30.75" customHeight="1">
      <c r="A17" s="209" t="str">
        <f>A3</f>
        <v>Import   El Salvador</v>
      </c>
      <c r="B17" s="223">
        <v>32550</v>
      </c>
      <c r="C17" s="62">
        <f>'El Salvador'!C16</f>
        <v>0.12150173612738892</v>
      </c>
      <c r="D17" s="231">
        <f>C17*B17</f>
        <v>3954.8815109465095</v>
      </c>
      <c r="E17" s="135" t="str">
        <f>E10</f>
        <v>Generation + Imports</v>
      </c>
      <c r="F17" s="135" t="str">
        <f>F10</f>
        <v>Tons CO2 + imports</v>
      </c>
      <c r="G17" s="165" t="s">
        <v>30</v>
      </c>
      <c r="H17" s="154"/>
      <c r="I17" s="4"/>
      <c r="J17" s="32"/>
    </row>
    <row r="18" spans="1:10">
      <c r="A18" s="207" t="str">
        <f>A4</f>
        <v>Nicaragua</v>
      </c>
      <c r="B18" s="224">
        <v>57031</v>
      </c>
      <c r="C18" s="1">
        <f>Nicaragua!C16</f>
        <v>0.48634449398417162</v>
      </c>
      <c r="D18" s="232">
        <f>C18*B18</f>
        <v>27736.71283641129</v>
      </c>
      <c r="E18" s="227">
        <f>E16+B19</f>
        <v>6702981</v>
      </c>
      <c r="F18" s="234">
        <f>D16+D19</f>
        <v>2188057.334079477</v>
      </c>
      <c r="G18" s="107">
        <f>F18-D20</f>
        <v>2143842.934974757</v>
      </c>
      <c r="H18" s="154"/>
      <c r="I18" s="4"/>
      <c r="J18" s="32"/>
    </row>
    <row r="19" spans="1:10">
      <c r="A19" s="207" t="s">
        <v>15</v>
      </c>
      <c r="B19" s="224">
        <f>SUM(B17:B18)</f>
        <v>89581</v>
      </c>
      <c r="C19" s="25">
        <f>D19/B19</f>
        <v>0.35377584920192678</v>
      </c>
      <c r="D19" s="232">
        <f>SUM(D17:D18)</f>
        <v>31691.594347357801</v>
      </c>
      <c r="E19" s="22"/>
      <c r="F19" s="23"/>
      <c r="G19" s="23"/>
      <c r="H19" s="24"/>
      <c r="I19" s="4"/>
      <c r="J19" s="32"/>
    </row>
    <row r="20" spans="1:10" ht="15.75" thickBot="1">
      <c r="A20" s="56" t="str">
        <f>A13</f>
        <v>Export</v>
      </c>
      <c r="B20" s="164">
        <f>41448+94154</f>
        <v>135602</v>
      </c>
      <c r="C20" s="68">
        <f>C16</f>
        <v>0.32606008100706435</v>
      </c>
      <c r="D20" s="233">
        <f>C20*B20</f>
        <v>44214.399104719938</v>
      </c>
      <c r="E20" s="13"/>
      <c r="F20" s="13"/>
      <c r="G20" s="13"/>
      <c r="H20" s="208"/>
    </row>
    <row r="21" spans="1:10" ht="15.75" thickBot="1"/>
    <row r="22" spans="1:10" ht="15.75" thickBot="1">
      <c r="A22" s="140" t="s">
        <v>24</v>
      </c>
      <c r="B22" s="141"/>
      <c r="C22" s="142"/>
      <c r="D22" s="143">
        <f>(C16+C9+C2)/3</f>
        <v>0.32748389766880437</v>
      </c>
    </row>
    <row r="23" spans="1:10" ht="15.75" thickBot="1">
      <c r="A23" s="140" t="s">
        <v>25</v>
      </c>
      <c r="B23" s="141"/>
      <c r="C23" s="142"/>
      <c r="D23" s="144">
        <f>(F16+F9+F2)/3</f>
        <v>0.32592929533586723</v>
      </c>
    </row>
    <row r="24" spans="1:10" ht="15.75" thickBot="1">
      <c r="A24" s="145" t="s">
        <v>35</v>
      </c>
      <c r="B24" s="146"/>
      <c r="C24" s="146"/>
      <c r="D24" s="147">
        <f>(H16+H9+H2)/3</f>
        <v>0.32589839116093128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="98" zoomScaleNormal="98" workbookViewId="0">
      <selection activeCell="A16" sqref="A16:H16"/>
    </sheetView>
  </sheetViews>
  <sheetFormatPr defaultRowHeight="15"/>
  <cols>
    <col min="1" max="1" width="15.7109375" style="2" customWidth="1"/>
    <col min="2" max="2" width="14.7109375" style="2" customWidth="1"/>
    <col min="3" max="3" width="15.85546875" style="2" customWidth="1"/>
    <col min="4" max="4" width="14.5703125" style="2" customWidth="1"/>
    <col min="5" max="5" width="22.28515625" style="2" customWidth="1"/>
    <col min="6" max="6" width="13.7109375" style="2" customWidth="1"/>
    <col min="7" max="7" width="15" style="2" customWidth="1"/>
    <col min="8" max="8" width="15.5703125" style="2" customWidth="1"/>
    <col min="9" max="9" width="18.5703125" style="2" customWidth="1"/>
    <col min="10" max="10" width="32.28515625" style="2" customWidth="1"/>
    <col min="11" max="16384" width="9.140625" style="2"/>
  </cols>
  <sheetData>
    <row r="1" spans="1:11" ht="31.5" customHeight="1">
      <c r="A1" s="184">
        <v>2011</v>
      </c>
      <c r="B1" s="177" t="s">
        <v>36</v>
      </c>
      <c r="C1" s="180" t="s">
        <v>14</v>
      </c>
      <c r="D1" s="177" t="s">
        <v>20</v>
      </c>
      <c r="E1" s="177" t="s">
        <v>31</v>
      </c>
      <c r="F1" s="181" t="s">
        <v>16</v>
      </c>
      <c r="G1" s="178" t="s">
        <v>41</v>
      </c>
      <c r="H1" s="179" t="s">
        <v>33</v>
      </c>
      <c r="I1" s="32"/>
    </row>
    <row r="2" spans="1:11" ht="20.25" customHeight="1" thickBot="1">
      <c r="A2" s="216" t="s">
        <v>34</v>
      </c>
      <c r="B2" s="217" t="s">
        <v>4</v>
      </c>
      <c r="C2" s="186">
        <v>0.45687178550125113</v>
      </c>
      <c r="D2" s="228">
        <f>E2*C2</f>
        <v>1725903.9620141396</v>
      </c>
      <c r="E2" s="218">
        <v>3777654.95</v>
      </c>
      <c r="F2" s="217">
        <f>F4/E4</f>
        <v>0.45075884339306727</v>
      </c>
      <c r="G2" s="109">
        <f>E2-B6+B5</f>
        <v>3746023.95</v>
      </c>
      <c r="H2" s="168">
        <f>G4/G2</f>
        <v>0.45053508274817977</v>
      </c>
      <c r="I2" s="41"/>
    </row>
    <row r="3" spans="1:11" ht="32.25" customHeight="1">
      <c r="A3" s="209" t="s">
        <v>42</v>
      </c>
      <c r="B3" s="237">
        <v>62009</v>
      </c>
      <c r="C3" s="242">
        <f>Honduras!C2</f>
        <v>0.34322105790381729</v>
      </c>
      <c r="D3" s="240">
        <f>C3*B3</f>
        <v>21282.794579557805</v>
      </c>
      <c r="E3" s="183" t="s">
        <v>32</v>
      </c>
      <c r="F3" s="183" t="s">
        <v>40</v>
      </c>
      <c r="G3" s="165" t="s">
        <v>30</v>
      </c>
      <c r="H3" s="154"/>
      <c r="I3" s="41"/>
      <c r="J3" s="32"/>
      <c r="K3" s="32"/>
    </row>
    <row r="4" spans="1:11">
      <c r="A4" s="214" t="s">
        <v>0</v>
      </c>
      <c r="B4" s="219">
        <v>43481</v>
      </c>
      <c r="C4" s="243">
        <f>'Costa Rica'!C2</f>
        <v>7.3024304775251694E-2</v>
      </c>
      <c r="D4" s="241">
        <f>C4*B4</f>
        <v>3175.1697959327189</v>
      </c>
      <c r="E4" s="29">
        <f>E2+B5</f>
        <v>3883144.95</v>
      </c>
      <c r="F4" s="29">
        <f>D2+D5</f>
        <v>1750361.9263896302</v>
      </c>
      <c r="G4" s="107">
        <f>F4-D6</f>
        <v>1687715.2102899132</v>
      </c>
      <c r="H4" s="154"/>
      <c r="I4" s="41"/>
      <c r="J4" s="32"/>
      <c r="K4" s="32"/>
    </row>
    <row r="5" spans="1:11" ht="17.25" customHeight="1">
      <c r="A5" s="214" t="s">
        <v>15</v>
      </c>
      <c r="B5" s="219">
        <f>SUM(B3:B4)</f>
        <v>105490</v>
      </c>
      <c r="C5" s="244">
        <f>D5/B5</f>
        <v>0.23185102261342802</v>
      </c>
      <c r="D5" s="241">
        <f>SUM(D3:D4)</f>
        <v>24457.964375490523</v>
      </c>
      <c r="E5" s="3"/>
      <c r="F5" s="30"/>
      <c r="G5" s="30"/>
      <c r="H5" s="31"/>
      <c r="I5" s="41"/>
      <c r="J5" s="32"/>
      <c r="K5" s="32"/>
    </row>
    <row r="6" spans="1:11" ht="17.25" customHeight="1" thickBot="1">
      <c r="A6" s="215" t="s">
        <v>28</v>
      </c>
      <c r="B6" s="220">
        <f>69036+68085</f>
        <v>137121</v>
      </c>
      <c r="C6" s="69">
        <f>C2</f>
        <v>0.45687178550125113</v>
      </c>
      <c r="D6" s="72">
        <f>C6*B6</f>
        <v>62646.716099717058</v>
      </c>
      <c r="E6" s="33"/>
      <c r="F6" s="34"/>
      <c r="G6" s="34"/>
      <c r="H6" s="35"/>
      <c r="I6" s="41"/>
      <c r="J6" s="32"/>
      <c r="K6" s="32"/>
    </row>
    <row r="7" spans="1:11" ht="15.75" thickBot="1">
      <c r="A7" s="3"/>
      <c r="B7" s="57"/>
      <c r="C7" s="57"/>
      <c r="D7" s="57"/>
      <c r="E7" s="3"/>
      <c r="F7" s="30"/>
      <c r="G7" s="30"/>
      <c r="H7" s="41"/>
      <c r="I7" s="36"/>
      <c r="J7" s="32"/>
      <c r="K7" s="32"/>
    </row>
    <row r="8" spans="1:11" ht="33" customHeight="1">
      <c r="A8" s="184">
        <v>2010</v>
      </c>
      <c r="B8" s="238" t="s">
        <v>12</v>
      </c>
      <c r="C8" s="293" t="s">
        <v>14</v>
      </c>
      <c r="D8" s="238" t="str">
        <f>D1</f>
        <v xml:space="preserve">Tons CO2 </v>
      </c>
      <c r="E8" s="177" t="str">
        <f>E1</f>
        <v>Generation in country MWh</v>
      </c>
      <c r="F8" s="181" t="s">
        <v>16</v>
      </c>
      <c r="G8" s="178" t="s">
        <v>41</v>
      </c>
      <c r="H8" s="179" t="s">
        <v>33</v>
      </c>
      <c r="I8" s="42"/>
      <c r="J8" s="32"/>
      <c r="K8" s="32"/>
    </row>
    <row r="9" spans="1:11" ht="15" customHeight="1" thickBot="1">
      <c r="A9" s="216" t="str">
        <f>A2</f>
        <v>Country</v>
      </c>
      <c r="B9" s="239" t="str">
        <f>B2</f>
        <v>Nicaragua</v>
      </c>
      <c r="C9" s="294">
        <v>0.39701398073054472</v>
      </c>
      <c r="D9" s="246">
        <f>E9*C9</f>
        <v>1434995.7899146196</v>
      </c>
      <c r="E9" s="245">
        <v>3614471.68</v>
      </c>
      <c r="F9" s="217">
        <f>F11/E11</f>
        <v>0.39160958912684324</v>
      </c>
      <c r="G9" s="109">
        <f>E9-B13+B12</f>
        <v>3580621.68</v>
      </c>
      <c r="H9" s="168">
        <f>G11/G9</f>
        <v>0.39137071121177924</v>
      </c>
      <c r="I9" s="41"/>
      <c r="J9" s="32"/>
      <c r="K9" s="32"/>
    </row>
    <row r="10" spans="1:11" ht="30">
      <c r="A10" s="209" t="str">
        <f>A3</f>
        <v>Import   Honduras</v>
      </c>
      <c r="B10" s="237">
        <v>85341</v>
      </c>
      <c r="C10" s="242">
        <f>Honduras!C9</f>
        <v>0.31317055409553146</v>
      </c>
      <c r="D10" s="240">
        <f>C10*B10</f>
        <v>26726.28825706675</v>
      </c>
      <c r="E10" s="196" t="str">
        <f>E3</f>
        <v>Generation + Imports</v>
      </c>
      <c r="F10" s="183" t="str">
        <f>F3</f>
        <v>Tons CO2 + imports</v>
      </c>
      <c r="G10" s="165" t="s">
        <v>30</v>
      </c>
      <c r="H10" s="154"/>
      <c r="I10" s="41"/>
      <c r="J10" s="32"/>
      <c r="K10" s="32"/>
    </row>
    <row r="11" spans="1:11">
      <c r="A11" s="214" t="str">
        <f>A4</f>
        <v>Costa Rica</v>
      </c>
      <c r="B11" s="219">
        <v>39075</v>
      </c>
      <c r="C11" s="243">
        <f>'Costa Rica'!C9</f>
        <v>6.301189979602756E-2</v>
      </c>
      <c r="D11" s="241">
        <f>C11*B11</f>
        <v>2462.1899845297767</v>
      </c>
      <c r="E11" s="247">
        <f>E9+B12</f>
        <v>3738887.68</v>
      </c>
      <c r="F11" s="29">
        <f>D9+D12</f>
        <v>1464184.2681562162</v>
      </c>
      <c r="G11" s="107">
        <f>F11-D13</f>
        <v>1401350.4534819159</v>
      </c>
      <c r="H11" s="154"/>
      <c r="I11" s="41"/>
      <c r="J11" s="32"/>
      <c r="K11" s="32"/>
    </row>
    <row r="12" spans="1:11" ht="17.25" customHeight="1">
      <c r="A12" s="214" t="s">
        <v>15</v>
      </c>
      <c r="B12" s="219">
        <f>SUM(B10:B11)</f>
        <v>124416</v>
      </c>
      <c r="C12" s="244">
        <f>D12/B12</f>
        <v>0.23460389533176221</v>
      </c>
      <c r="D12" s="241">
        <f>SUM(D10:D11)</f>
        <v>29188.478241596527</v>
      </c>
      <c r="E12" s="3"/>
      <c r="F12" s="30"/>
      <c r="G12" s="30"/>
      <c r="H12" s="31"/>
      <c r="I12" s="41"/>
      <c r="J12" s="32"/>
      <c r="K12" s="32"/>
    </row>
    <row r="13" spans="1:11" ht="17.25" customHeight="1" thickBot="1">
      <c r="A13" s="215" t="str">
        <f>A6</f>
        <v>Export</v>
      </c>
      <c r="B13" s="220">
        <f>96058+62208</f>
        <v>158266</v>
      </c>
      <c r="C13" s="69">
        <f>C9</f>
        <v>0.39701398073054472</v>
      </c>
      <c r="D13" s="72">
        <f>C13*B13</f>
        <v>62833.814674300389</v>
      </c>
      <c r="E13" s="33"/>
      <c r="F13" s="34"/>
      <c r="G13" s="34"/>
      <c r="H13" s="35"/>
      <c r="I13" s="41"/>
      <c r="J13" s="32"/>
      <c r="K13" s="32"/>
    </row>
    <row r="14" spans="1:11" ht="15.75" thickBot="1">
      <c r="A14" s="30"/>
      <c r="B14" s="213"/>
      <c r="C14" s="213"/>
      <c r="D14" s="213"/>
      <c r="E14" s="30"/>
      <c r="F14" s="30"/>
      <c r="G14" s="30"/>
      <c r="H14" s="41"/>
      <c r="I14" s="36"/>
      <c r="J14" s="32"/>
      <c r="K14" s="32"/>
    </row>
    <row r="15" spans="1:11" ht="32.25" customHeight="1">
      <c r="A15" s="184">
        <v>2009</v>
      </c>
      <c r="B15" s="238" t="s">
        <v>12</v>
      </c>
      <c r="C15" s="293" t="s">
        <v>14</v>
      </c>
      <c r="D15" s="238" t="str">
        <f>D8</f>
        <v xml:space="preserve">Tons CO2 </v>
      </c>
      <c r="E15" s="177" t="str">
        <f>E8</f>
        <v>Generation in country MWh</v>
      </c>
      <c r="F15" s="181" t="s">
        <v>16</v>
      </c>
      <c r="G15" s="178" t="s">
        <v>41</v>
      </c>
      <c r="H15" s="179" t="s">
        <v>33</v>
      </c>
      <c r="I15" s="42"/>
      <c r="J15" s="32"/>
      <c r="K15" s="32"/>
    </row>
    <row r="16" spans="1:11" ht="19.5" customHeight="1" thickBot="1">
      <c r="A16" s="216" t="str">
        <f>A9</f>
        <v>Country</v>
      </c>
      <c r="B16" s="239" t="str">
        <f>B2</f>
        <v>Nicaragua</v>
      </c>
      <c r="C16" s="351">
        <v>0.48634449398417162</v>
      </c>
      <c r="D16" s="352">
        <f>E16*C16</f>
        <v>1658168.7767263798</v>
      </c>
      <c r="E16" s="245">
        <v>3409453.17</v>
      </c>
      <c r="F16" s="217">
        <f>F18/E18</f>
        <v>0.47718433257316639</v>
      </c>
      <c r="G16" s="109">
        <f>E16-B20+B19</f>
        <v>3409407.17</v>
      </c>
      <c r="H16" s="168">
        <f>G18/G16</f>
        <v>0.47692015164483759</v>
      </c>
      <c r="I16" s="41"/>
      <c r="J16" s="32"/>
      <c r="K16" s="32"/>
    </row>
    <row r="17" spans="1:11" ht="30">
      <c r="A17" s="209" t="str">
        <f>A3</f>
        <v>Import   Honduras</v>
      </c>
      <c r="B17" s="237">
        <v>41448</v>
      </c>
      <c r="C17" s="242">
        <f>Honduras!C16</f>
        <v>0.32606008100706435</v>
      </c>
      <c r="D17" s="240">
        <f>C17*B17</f>
        <v>13514.538237580804</v>
      </c>
      <c r="E17" s="183" t="str">
        <f>E10</f>
        <v>Generation + Imports</v>
      </c>
      <c r="F17" s="183" t="str">
        <f>F10</f>
        <v>Tons CO2 + imports</v>
      </c>
      <c r="G17" s="165" t="s">
        <v>30</v>
      </c>
      <c r="H17" s="154"/>
      <c r="I17" s="41"/>
      <c r="J17" s="32"/>
      <c r="K17" s="32"/>
    </row>
    <row r="18" spans="1:11">
      <c r="A18" s="214" t="str">
        <f>A4</f>
        <v>Costa Rica</v>
      </c>
      <c r="B18" s="219">
        <v>56834</v>
      </c>
      <c r="C18" s="243">
        <f>'Costa Rica'!C16</f>
        <v>3.7881390996792615E-2</v>
      </c>
      <c r="D18" s="241">
        <f>C18*B18</f>
        <v>2152.9509759117113</v>
      </c>
      <c r="E18" s="247">
        <f>E16+B19</f>
        <v>3507735.17</v>
      </c>
      <c r="F18" s="248">
        <f>D16+D19</f>
        <v>1673836.2659398722</v>
      </c>
      <c r="G18" s="107">
        <f>F18-D20</f>
        <v>1626014.9845353966</v>
      </c>
      <c r="H18" s="154"/>
      <c r="I18" s="41"/>
      <c r="J18" s="32"/>
      <c r="K18" s="32"/>
    </row>
    <row r="19" spans="1:11">
      <c r="A19" s="214" t="s">
        <v>15</v>
      </c>
      <c r="B19" s="219">
        <f>SUM(B17:B18)</f>
        <v>98282</v>
      </c>
      <c r="C19" s="244">
        <f>D19/B19</f>
        <v>0.15941361809377624</v>
      </c>
      <c r="D19" s="241">
        <f>SUM(D17:D18)</f>
        <v>15667.489213492516</v>
      </c>
      <c r="E19" s="3"/>
      <c r="F19" s="30"/>
      <c r="G19" s="30"/>
      <c r="H19" s="31"/>
      <c r="I19" s="41"/>
      <c r="J19" s="32"/>
      <c r="K19" s="32"/>
    </row>
    <row r="20" spans="1:11" ht="15.75" thickBot="1">
      <c r="A20" s="191" t="s">
        <v>28</v>
      </c>
      <c r="B20" s="195">
        <f>41297+57031</f>
        <v>98328</v>
      </c>
      <c r="C20" s="69">
        <f>C16</f>
        <v>0.48634449398417162</v>
      </c>
      <c r="D20" s="72">
        <f>C20*B20</f>
        <v>47821.281404475631</v>
      </c>
      <c r="E20" s="38"/>
      <c r="F20" s="38"/>
      <c r="G20" s="38"/>
      <c r="H20" s="192"/>
    </row>
    <row r="21" spans="1:11" ht="15.75" thickBot="1"/>
    <row r="22" spans="1:11" ht="15.75" thickBot="1">
      <c r="A22" s="140" t="s">
        <v>24</v>
      </c>
      <c r="B22" s="141"/>
      <c r="C22" s="142"/>
      <c r="D22" s="143">
        <f>(C16+C9+C2)/3</f>
        <v>0.44674342007198914</v>
      </c>
    </row>
    <row r="23" spans="1:11" ht="15.75" thickBot="1">
      <c r="A23" s="140" t="s">
        <v>25</v>
      </c>
      <c r="B23" s="141"/>
      <c r="C23" s="142"/>
      <c r="D23" s="144">
        <f>(F16+F9+F2)/3</f>
        <v>0.43985092169769224</v>
      </c>
    </row>
    <row r="24" spans="1:11" ht="15.75" thickBot="1">
      <c r="A24" s="145" t="s">
        <v>35</v>
      </c>
      <c r="B24" s="146"/>
      <c r="C24" s="146"/>
      <c r="D24" s="147">
        <f>(H16+H9+H2)/3</f>
        <v>0.4396086485349322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1"/>
  <sheetViews>
    <sheetView topLeftCell="A4" zoomScaleNormal="100" workbookViewId="0">
      <selection activeCell="D22" sqref="D22"/>
    </sheetView>
  </sheetViews>
  <sheetFormatPr defaultRowHeight="15"/>
  <cols>
    <col min="1" max="1" width="15.85546875" customWidth="1"/>
    <col min="2" max="2" width="14.7109375" customWidth="1"/>
    <col min="3" max="3" width="16" customWidth="1"/>
    <col min="4" max="4" width="16.28515625" customWidth="1"/>
    <col min="5" max="5" width="15.140625" customWidth="1"/>
    <col min="6" max="6" width="16.28515625" customWidth="1"/>
    <col min="7" max="7" width="17.140625" customWidth="1"/>
    <col min="8" max="9" width="16.140625" customWidth="1"/>
    <col min="10" max="10" width="24.5703125" customWidth="1"/>
  </cols>
  <sheetData>
    <row r="1" spans="1:9" ht="33.75" customHeight="1">
      <c r="A1" s="110">
        <v>2011</v>
      </c>
      <c r="B1" s="55" t="s">
        <v>36</v>
      </c>
      <c r="C1" s="172" t="s">
        <v>14</v>
      </c>
      <c r="D1" s="55" t="s">
        <v>20</v>
      </c>
      <c r="E1" s="55" t="s">
        <v>31</v>
      </c>
      <c r="F1" s="173" t="s">
        <v>16</v>
      </c>
      <c r="G1" s="111" t="s">
        <v>41</v>
      </c>
      <c r="H1" s="112" t="s">
        <v>33</v>
      </c>
    </row>
    <row r="2" spans="1:9" ht="15.75" thickBot="1">
      <c r="A2" s="149" t="s">
        <v>34</v>
      </c>
      <c r="B2" s="212" t="s">
        <v>5</v>
      </c>
      <c r="C2" s="212">
        <v>0.26178149701139986</v>
      </c>
      <c r="D2" s="108">
        <f>E2*C2</f>
        <v>2019641.6316279797</v>
      </c>
      <c r="E2" s="109">
        <v>7714990</v>
      </c>
      <c r="F2" s="212">
        <f>F4/E4</f>
        <v>0.26005004608954102</v>
      </c>
      <c r="G2" s="109">
        <f>E2-B5+B4</f>
        <v>7778849</v>
      </c>
      <c r="H2" s="182">
        <f>G4/G2</f>
        <v>0.26004836223808381</v>
      </c>
    </row>
    <row r="3" spans="1:9" ht="30">
      <c r="A3" s="133" t="s">
        <v>44</v>
      </c>
      <c r="B3" s="249"/>
      <c r="C3" s="250"/>
      <c r="D3" s="251"/>
      <c r="E3" s="116" t="s">
        <v>32</v>
      </c>
      <c r="F3" s="116" t="s">
        <v>40</v>
      </c>
      <c r="G3" s="165" t="s">
        <v>30</v>
      </c>
      <c r="H3" s="154"/>
      <c r="I3" s="47"/>
    </row>
    <row r="4" spans="1:9">
      <c r="A4" s="113" t="s">
        <v>0</v>
      </c>
      <c r="B4" s="298">
        <v>71424</v>
      </c>
      <c r="C4" s="58">
        <v>7.3024304775251694E-2</v>
      </c>
      <c r="D4" s="295">
        <v>5215.6879442675772</v>
      </c>
      <c r="E4" s="107">
        <f>E2+B4</f>
        <v>7786414</v>
      </c>
      <c r="F4" s="70">
        <f>D2+D4</f>
        <v>2024857.3195722473</v>
      </c>
      <c r="G4" s="107">
        <f>D2+D4-D5</f>
        <v>2022876.942547356</v>
      </c>
      <c r="H4" s="154"/>
      <c r="I4" s="47"/>
    </row>
    <row r="5" spans="1:9" ht="15.75" thickBot="1">
      <c r="A5" s="56" t="s">
        <v>28</v>
      </c>
      <c r="B5" s="299">
        <v>7565</v>
      </c>
      <c r="C5" s="203">
        <f>C2</f>
        <v>0.26178149701139986</v>
      </c>
      <c r="D5" s="297">
        <f>C5*B5</f>
        <v>1980.3770248912399</v>
      </c>
      <c r="E5" s="13"/>
      <c r="F5" s="13"/>
      <c r="G5" s="13"/>
      <c r="H5" s="14"/>
      <c r="I5" s="47"/>
    </row>
    <row r="6" spans="1:9" ht="15.75" thickBot="1">
      <c r="A6" s="5"/>
      <c r="B6" s="59"/>
      <c r="C6" s="59"/>
      <c r="D6" s="59"/>
      <c r="E6" s="5"/>
      <c r="H6" s="15"/>
      <c r="I6" s="15"/>
    </row>
    <row r="7" spans="1:9" ht="33" customHeight="1">
      <c r="A7" s="110">
        <v>2010</v>
      </c>
      <c r="B7" s="252" t="str">
        <f>B1</f>
        <v>Import - Export MWh</v>
      </c>
      <c r="C7" s="300" t="s">
        <v>14</v>
      </c>
      <c r="D7" s="252" t="str">
        <f>D1</f>
        <v xml:space="preserve">Tons CO2 </v>
      </c>
      <c r="E7" s="55" t="str">
        <f>E1</f>
        <v>Generation in country MWh</v>
      </c>
      <c r="F7" s="173" t="s">
        <v>16</v>
      </c>
      <c r="G7" s="111" t="s">
        <v>41</v>
      </c>
      <c r="H7" s="112" t="s">
        <v>33</v>
      </c>
      <c r="I7" s="44"/>
    </row>
    <row r="8" spans="1:9" ht="15.75" thickBot="1">
      <c r="A8" s="149" t="str">
        <f>A2</f>
        <v>Country</v>
      </c>
      <c r="B8" s="253" t="s">
        <v>5</v>
      </c>
      <c r="C8" s="253">
        <v>0.18530251552803104</v>
      </c>
      <c r="D8" s="296">
        <f>E8*C8</f>
        <v>1386939.2970481198</v>
      </c>
      <c r="E8" s="109">
        <v>7484730</v>
      </c>
      <c r="F8" s="212">
        <f>F10/E10</f>
        <v>0.18416659866885235</v>
      </c>
      <c r="G8" s="109">
        <f>E8-B11+B10</f>
        <v>7516726</v>
      </c>
      <c r="H8" s="182">
        <f>G10/G8</f>
        <v>0.18416082911309542</v>
      </c>
      <c r="I8" s="47"/>
    </row>
    <row r="9" spans="1:9" ht="30">
      <c r="A9" s="133" t="s">
        <v>44</v>
      </c>
      <c r="B9" s="249"/>
      <c r="C9" s="250"/>
      <c r="D9" s="251"/>
      <c r="E9" s="116" t="str">
        <f>E3</f>
        <v>Generation + Imports</v>
      </c>
      <c r="F9" s="116" t="str">
        <f>F3</f>
        <v>Tons CO2 + imports</v>
      </c>
      <c r="G9" s="165" t="s">
        <v>30</v>
      </c>
      <c r="H9" s="154"/>
      <c r="I9" s="47"/>
    </row>
    <row r="10" spans="1:9">
      <c r="A10" s="113" t="s">
        <v>0</v>
      </c>
      <c r="B10" s="298">
        <v>70175</v>
      </c>
      <c r="C10" s="58">
        <v>6.301189979602756E-2</v>
      </c>
      <c r="D10" s="295">
        <v>4421.8600681862335</v>
      </c>
      <c r="E10" s="107">
        <f>E8+B10</f>
        <v>7554905</v>
      </c>
      <c r="F10" s="70">
        <f>D8+D10</f>
        <v>1391361.157116306</v>
      </c>
      <c r="G10" s="107">
        <f>D8+D10-D11</f>
        <v>1384286.4923759613</v>
      </c>
      <c r="H10" s="154"/>
      <c r="I10" s="47"/>
    </row>
    <row r="11" spans="1:9" ht="15.75" thickBot="1">
      <c r="A11" s="56" t="str">
        <f>A5</f>
        <v>Export</v>
      </c>
      <c r="B11" s="299">
        <v>38179</v>
      </c>
      <c r="C11" s="203">
        <f>C8</f>
        <v>0.18530251552803104</v>
      </c>
      <c r="D11" s="297">
        <f>C11*B11</f>
        <v>7074.6647403446968</v>
      </c>
      <c r="E11" s="12"/>
      <c r="F11" s="13"/>
      <c r="G11" s="13"/>
      <c r="H11" s="14"/>
      <c r="I11" s="47"/>
    </row>
    <row r="12" spans="1:9" ht="15.75" thickBot="1">
      <c r="B12" s="60"/>
      <c r="C12" s="60"/>
      <c r="D12" s="60"/>
      <c r="H12" s="15"/>
      <c r="I12" s="15"/>
    </row>
    <row r="13" spans="1:9" ht="32.25" customHeight="1">
      <c r="A13" s="110">
        <v>2009</v>
      </c>
      <c r="B13" s="252" t="str">
        <f>B7</f>
        <v>Import - Export MWh</v>
      </c>
      <c r="C13" s="300" t="s">
        <v>14</v>
      </c>
      <c r="D13" s="252" t="str">
        <f>D7</f>
        <v xml:space="preserve">Tons CO2 </v>
      </c>
      <c r="E13" s="55" t="str">
        <f>E7</f>
        <v>Generation in country MWh</v>
      </c>
      <c r="F13" s="173" t="s">
        <v>16</v>
      </c>
      <c r="G13" s="111" t="s">
        <v>41</v>
      </c>
      <c r="H13" s="112" t="s">
        <v>33</v>
      </c>
      <c r="I13" s="44"/>
    </row>
    <row r="14" spans="1:9" ht="15.75" thickBot="1">
      <c r="A14" s="149" t="str">
        <f>A8</f>
        <v>Country</v>
      </c>
      <c r="B14" s="253" t="s">
        <v>5</v>
      </c>
      <c r="C14" s="253">
        <v>0.12418050446935205</v>
      </c>
      <c r="D14" s="296">
        <f>E14*C14</f>
        <v>852466.87625093979</v>
      </c>
      <c r="E14" s="109">
        <v>6864740</v>
      </c>
      <c r="F14" s="212">
        <f>F16/E16</f>
        <v>0.12339385961560984</v>
      </c>
      <c r="G14" s="109">
        <f>E14-B17+B16</f>
        <v>6834280</v>
      </c>
      <c r="H14" s="182">
        <f>G16/G14</f>
        <v>0.1233830848412724</v>
      </c>
      <c r="I14" s="47"/>
    </row>
    <row r="15" spans="1:9" ht="30">
      <c r="A15" s="133" t="s">
        <v>44</v>
      </c>
      <c r="B15" s="249"/>
      <c r="C15" s="250"/>
      <c r="D15" s="251"/>
      <c r="E15" s="116" t="str">
        <f>E9</f>
        <v>Generation + Imports</v>
      </c>
      <c r="F15" s="116" t="str">
        <f>F9</f>
        <v>Tons CO2 + imports</v>
      </c>
      <c r="G15" s="165" t="s">
        <v>30</v>
      </c>
      <c r="H15" s="154"/>
      <c r="I15" s="47"/>
    </row>
    <row r="16" spans="1:9">
      <c r="A16" s="113" t="s">
        <v>0</v>
      </c>
      <c r="B16" s="298">
        <v>63150</v>
      </c>
      <c r="C16" s="58">
        <v>3.7881390996792615E-2</v>
      </c>
      <c r="D16" s="295">
        <v>2392.2098414474535</v>
      </c>
      <c r="E16" s="107">
        <f>E14+B16</f>
        <v>6927890</v>
      </c>
      <c r="F16" s="70">
        <f>D14+D16</f>
        <v>854859.08609238721</v>
      </c>
      <c r="G16" s="107">
        <f>D14+D16-D17</f>
        <v>843234.54906901112</v>
      </c>
      <c r="H16" s="154"/>
      <c r="I16" s="47"/>
    </row>
    <row r="17" spans="1:8" ht="15.75" thickBot="1">
      <c r="A17" s="56" t="str">
        <f>A11</f>
        <v>Export</v>
      </c>
      <c r="B17" s="109">
        <v>93610</v>
      </c>
      <c r="C17" s="203">
        <f>C14</f>
        <v>0.12418050446935205</v>
      </c>
      <c r="D17" s="297">
        <f>C17*B17</f>
        <v>11624.537023376046</v>
      </c>
      <c r="E17" s="13"/>
      <c r="F17" s="13"/>
      <c r="G17" s="13"/>
      <c r="H17" s="208"/>
    </row>
    <row r="18" spans="1:8" ht="15.75" thickBot="1"/>
    <row r="19" spans="1:8" ht="15.75" thickBot="1">
      <c r="A19" s="140" t="s">
        <v>24</v>
      </c>
      <c r="B19" s="146"/>
      <c r="C19" s="142"/>
      <c r="D19" s="205">
        <f>(C14+C8+C2)/3</f>
        <v>0.19042150566959429</v>
      </c>
    </row>
    <row r="20" spans="1:8" ht="15.75" thickBot="1">
      <c r="A20" s="190" t="s">
        <v>25</v>
      </c>
      <c r="B20" s="188"/>
      <c r="C20" s="189"/>
      <c r="D20" s="206">
        <f>(F14+F8+F2)/3</f>
        <v>0.18920350145800105</v>
      </c>
    </row>
    <row r="21" spans="1:8" ht="15.75" thickBot="1">
      <c r="A21" s="187" t="s">
        <v>35</v>
      </c>
      <c r="B21" s="188"/>
      <c r="C21" s="189"/>
      <c r="D21" s="206">
        <f>(H14+H8+H2)/3</f>
        <v>0.18919742539748388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GEF Calculation</vt:lpstr>
      <vt:lpstr>Mexico</vt:lpstr>
      <vt:lpstr>Belize</vt:lpstr>
      <vt:lpstr>Costa Rica</vt:lpstr>
      <vt:lpstr>El Salvador</vt:lpstr>
      <vt:lpstr>Guatemala</vt:lpstr>
      <vt:lpstr>Honduras</vt:lpstr>
      <vt:lpstr>Nicaragua</vt:lpstr>
      <vt:lpstr>Panama</vt:lpstr>
      <vt:lpstr>Sources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</dc:creator>
  <cp:lastModifiedBy>Federico</cp:lastModifiedBy>
  <cp:lastPrinted>2013-01-24T11:18:37Z</cp:lastPrinted>
  <dcterms:created xsi:type="dcterms:W3CDTF">2012-11-15T11:47:58Z</dcterms:created>
  <dcterms:modified xsi:type="dcterms:W3CDTF">2013-01-24T11:19:52Z</dcterms:modified>
</cp:coreProperties>
</file>